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795" yWindow="300" windowWidth="13605" windowHeight="7575" tabRatio="805"/>
  </bookViews>
  <sheets>
    <sheet name="Table 1 State Summary " sheetId="81" r:id="rId1"/>
    <sheet name="Table 2_State Distrib and Adjs" sheetId="33" r:id="rId2"/>
    <sheet name="Table 2A-1_EFT (Annual)" sheetId="100" r:id="rId3"/>
    <sheet name="Table 2A-2 EFT (Monthly)" sheetId="72" r:id="rId4"/>
    <sheet name="Table 3 Levels 1&amp;2" sheetId="1" r:id="rId5"/>
    <sheet name="Table 4 Level 3" sheetId="2" r:id="rId6"/>
    <sheet name="Table 4A Stipends" sheetId="138" r:id="rId7"/>
    <sheet name="Table 5A Labs, NOCCA,LSMSA" sheetId="5" r:id="rId8"/>
    <sheet name="Table 5B1_RSD_Orleans" sheetId="31" r:id="rId9"/>
    <sheet name="Table 5B2_RSD_LA" sheetId="46" r:id="rId10"/>
    <sheet name="Table 5C1A-Madison Prep" sheetId="113" r:id="rId11"/>
    <sheet name="Table 5C1B-DArbonne" sheetId="114" r:id="rId12"/>
    <sheet name="Table 5C1C-Intl_VIBE" sheetId="115" r:id="rId13"/>
    <sheet name="Table 5C1D-NOMMA" sheetId="116" r:id="rId14"/>
    <sheet name="Table 5C1E-LFNO" sheetId="117" r:id="rId15"/>
    <sheet name="Table 5C1F-Lake Charles Charter" sheetId="118" r:id="rId16"/>
    <sheet name="Table 5C1G-JS Clark Academy" sheetId="119" r:id="rId17"/>
    <sheet name="Table 5C1H-Southwest LA Charter" sheetId="120" r:id="rId18"/>
    <sheet name="Table 5C1I-LA Key Academy" sheetId="125" r:id="rId19"/>
    <sheet name="Table 5C1J-Jefferson Chamber" sheetId="126" r:id="rId20"/>
    <sheet name="Table 5C1K-Tallulah Charter" sheetId="127" r:id="rId21"/>
    <sheet name="Table 5C1L-Northshore Charter" sheetId="128" r:id="rId22"/>
    <sheet name="Table 5C1M-EBR Charter" sheetId="129" r:id="rId23"/>
    <sheet name="Table 5C1N-Delta Charter" sheetId="131" r:id="rId24"/>
    <sheet name="Table 5C2 - LA Virtual Admy" sheetId="76" r:id="rId25"/>
    <sheet name="Table 5C3 - LA Connections EBR" sheetId="80" r:id="rId26"/>
    <sheet name="Table 5D- Legacy Type 2" sheetId="137" r:id="rId27"/>
    <sheet name="Table 5E_OJJ" sheetId="67" r:id="rId28"/>
    <sheet name="Table 6 (Local Deduct Calc.)" sheetId="25" r:id="rId29"/>
    <sheet name="Table 7 Local Revenue" sheetId="13" r:id="rId30"/>
    <sheet name="2-1-13 SIS" sheetId="136" r:id="rId31"/>
  </sheets>
  <externalReferences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_1_2004_2005_AFR_4_Ad_Valorem_Taxes" localSheetId="0">#REF!</definedName>
    <definedName name="_1_2004_2005_AFR_4_Ad_Valorem_Taxes" localSheetId="2">#REF!</definedName>
    <definedName name="_1_2004_2005_AFR_4_Ad_Valorem_Taxes" localSheetId="11">#REF!</definedName>
    <definedName name="_1_2004_2005_AFR_4_Ad_Valorem_Taxes" localSheetId="12">#REF!</definedName>
    <definedName name="_1_2004_2005_AFR_4_Ad_Valorem_Taxes" localSheetId="13">#REF!</definedName>
    <definedName name="_1_2004_2005_AFR_4_Ad_Valorem_Taxes" localSheetId="14">#REF!</definedName>
    <definedName name="_1_2004_2005_AFR_4_Ad_Valorem_Taxes" localSheetId="15">#REF!</definedName>
    <definedName name="_1_2004_2005_AFR_4_Ad_Valorem_Taxes" localSheetId="16">#REF!</definedName>
    <definedName name="_1_2004_2005_AFR_4_Ad_Valorem_Taxes" localSheetId="17">#REF!</definedName>
    <definedName name="_1_2004_2005_AFR_4_Ad_Valorem_Taxes" localSheetId="18">#REF!</definedName>
    <definedName name="_1_2004_2005_AFR_4_Ad_Valorem_Taxes" localSheetId="19">#REF!</definedName>
    <definedName name="_1_2004_2005_AFR_4_Ad_Valorem_Taxes" localSheetId="20">#REF!</definedName>
    <definedName name="_1_2004_2005_AFR_4_Ad_Valorem_Taxes" localSheetId="21">#REF!</definedName>
    <definedName name="_1_2004_2005_AFR_4_Ad_Valorem_Taxes" localSheetId="22">#REF!</definedName>
    <definedName name="_1_2004_2005_AFR_4_Ad_Valorem_Taxes" localSheetId="23">#REF!</definedName>
    <definedName name="_1_2004_2005_AFR_4_Ad_Valorem_Taxes" localSheetId="26">#REF!</definedName>
    <definedName name="_1_2004_2005_AFR_4_Ad_Valorem_Taxes">#REF!</definedName>
    <definedName name="_2004_2005_AFR_4_Ad_Valorem_Taxes">#REF!</definedName>
    <definedName name="Import_Elem_Secondary_ByLEA" localSheetId="0">#REF!</definedName>
    <definedName name="Import_Elem_Secondary_ByLEA" localSheetId="2">#REF!</definedName>
    <definedName name="Import_Elem_Secondary_ByLEA" localSheetId="11">#REF!</definedName>
    <definedName name="Import_Elem_Secondary_ByLEA" localSheetId="12">#REF!</definedName>
    <definedName name="Import_Elem_Secondary_ByLEA" localSheetId="13">#REF!</definedName>
    <definedName name="Import_Elem_Secondary_ByLEA" localSheetId="14">#REF!</definedName>
    <definedName name="Import_Elem_Secondary_ByLEA" localSheetId="15">#REF!</definedName>
    <definedName name="Import_Elem_Secondary_ByLEA" localSheetId="16">#REF!</definedName>
    <definedName name="Import_Elem_Secondary_ByLEA" localSheetId="17">#REF!</definedName>
    <definedName name="Import_Elem_Secondary_ByLEA" localSheetId="18">#REF!</definedName>
    <definedName name="Import_Elem_Secondary_ByLEA" localSheetId="19">#REF!</definedName>
    <definedName name="Import_Elem_Secondary_ByLEA" localSheetId="20">#REF!</definedName>
    <definedName name="Import_Elem_Secondary_ByLEA" localSheetId="21">#REF!</definedName>
    <definedName name="Import_Elem_Secondary_ByLEA" localSheetId="22">#REF!</definedName>
    <definedName name="Import_Elem_Secondary_ByLEA" localSheetId="23">#REF!</definedName>
    <definedName name="Import_Elem_Secondary_ByLEA">#REF!</definedName>
    <definedName name="Import_K_12_ByLEA" localSheetId="0">#REF!</definedName>
    <definedName name="Import_K_12_ByLEA" localSheetId="2">#REF!</definedName>
    <definedName name="Import_K_12_ByLEA" localSheetId="11">#REF!</definedName>
    <definedName name="Import_K_12_ByLEA" localSheetId="12">#REF!</definedName>
    <definedName name="Import_K_12_ByLEA" localSheetId="13">#REF!</definedName>
    <definedName name="Import_K_12_ByLEA" localSheetId="14">#REF!</definedName>
    <definedName name="Import_K_12_ByLEA" localSheetId="15">#REF!</definedName>
    <definedName name="Import_K_12_ByLEA" localSheetId="16">#REF!</definedName>
    <definedName name="Import_K_12_ByLEA" localSheetId="17">#REF!</definedName>
    <definedName name="Import_K_12_ByLEA" localSheetId="18">#REF!</definedName>
    <definedName name="Import_K_12_ByLEA" localSheetId="19">#REF!</definedName>
    <definedName name="Import_K_12_ByLEA" localSheetId="20">#REF!</definedName>
    <definedName name="Import_K_12_ByLEA" localSheetId="21">#REF!</definedName>
    <definedName name="Import_K_12_ByLEA" localSheetId="22">#REF!</definedName>
    <definedName name="Import_K_12_ByLEA" localSheetId="23">#REF!</definedName>
    <definedName name="Import_K_12_ByLEA">#REF!</definedName>
    <definedName name="Import_MFP_and_Other_Funded_ByLEA" localSheetId="0">#REF!</definedName>
    <definedName name="Import_MFP_and_Other_Funded_ByLEA" localSheetId="2">#REF!</definedName>
    <definedName name="Import_MFP_and_Other_Funded_ByLEA" localSheetId="11">#REF!</definedName>
    <definedName name="Import_MFP_and_Other_Funded_ByLEA" localSheetId="12">#REF!</definedName>
    <definedName name="Import_MFP_and_Other_Funded_ByLEA" localSheetId="13">#REF!</definedName>
    <definedName name="Import_MFP_and_Other_Funded_ByLEA" localSheetId="14">#REF!</definedName>
    <definedName name="Import_MFP_and_Other_Funded_ByLEA" localSheetId="15">#REF!</definedName>
    <definedName name="Import_MFP_and_Other_Funded_ByLEA" localSheetId="16">#REF!</definedName>
    <definedName name="Import_MFP_and_Other_Funded_ByLEA" localSheetId="17">#REF!</definedName>
    <definedName name="Import_MFP_and_Other_Funded_ByLEA" localSheetId="18">#REF!</definedName>
    <definedName name="Import_MFP_and_Other_Funded_ByLEA" localSheetId="19">#REF!</definedName>
    <definedName name="Import_MFP_and_Other_Funded_ByLEA" localSheetId="20">#REF!</definedName>
    <definedName name="Import_MFP_and_Other_Funded_ByLEA" localSheetId="21">#REF!</definedName>
    <definedName name="Import_MFP_and_Other_Funded_ByLEA" localSheetId="22">#REF!</definedName>
    <definedName name="Import_MFP_and_Other_Funded_ByLEA" localSheetId="23">#REF!</definedName>
    <definedName name="Import_MFP_and_Other_Funded_ByLEA">#REF!</definedName>
    <definedName name="Import_Total_Reported_ByLEA" localSheetId="0">#REF!</definedName>
    <definedName name="Import_Total_Reported_ByLEA" localSheetId="2">#REF!</definedName>
    <definedName name="Import_Total_Reported_ByLEA" localSheetId="11">#REF!</definedName>
    <definedName name="Import_Total_Reported_ByLEA" localSheetId="12">#REF!</definedName>
    <definedName name="Import_Total_Reported_ByLEA" localSheetId="13">#REF!</definedName>
    <definedName name="Import_Total_Reported_ByLEA" localSheetId="14">#REF!</definedName>
    <definedName name="Import_Total_Reported_ByLEA" localSheetId="15">#REF!</definedName>
    <definedName name="Import_Total_Reported_ByLEA" localSheetId="16">#REF!</definedName>
    <definedName name="Import_Total_Reported_ByLEA" localSheetId="17">#REF!</definedName>
    <definedName name="Import_Total_Reported_ByLEA" localSheetId="18">#REF!</definedName>
    <definedName name="Import_Total_Reported_ByLEA" localSheetId="19">#REF!</definedName>
    <definedName name="Import_Total_Reported_ByLEA" localSheetId="20">#REF!</definedName>
    <definedName name="Import_Total_Reported_ByLEA" localSheetId="21">#REF!</definedName>
    <definedName name="Import_Total_Reported_ByLEA" localSheetId="22">#REF!</definedName>
    <definedName name="Import_Total_Reported_ByLEA" localSheetId="23">#REF!</definedName>
    <definedName name="Import_Total_Reported_ByLEA">#REF!</definedName>
    <definedName name="_xlnm.Print_Area" localSheetId="0">'Table 1 State Summary '!$A$1:$H$85</definedName>
    <definedName name="_xlnm.Print_Area" localSheetId="1">'Table 2_State Distrib and Adjs'!$A$1:$X$77</definedName>
    <definedName name="_xlnm.Print_Area" localSheetId="2">'Table 2A-1_EFT (Annual)'!$A$1:$X$77</definedName>
    <definedName name="_xlnm.Print_Area" localSheetId="3">'Table 2A-2 EFT (Monthly)'!$A$1:$AS$75</definedName>
    <definedName name="_xlnm.Print_Area" localSheetId="4">'Table 3 Levels 1&amp;2'!$A$1:$BA$83</definedName>
    <definedName name="_xlnm.Print_Area" localSheetId="5">'Table 4 Level 3'!$A$1:$R$76</definedName>
    <definedName name="_xlnm.Print_Area" localSheetId="6">'Table 4A Stipends'!$A$1:$G$78</definedName>
    <definedName name="_xlnm.Print_Area" localSheetId="7">'Table 5A Labs, NOCCA,LSMSA'!$A$1:$J$26</definedName>
    <definedName name="_xlnm.Print_Area" localSheetId="8">'Table 5B1_RSD_Orleans'!$A$1:$S$76</definedName>
    <definedName name="_xlnm.Print_Area" localSheetId="9">'Table 5B2_RSD_LA'!$A$3:$Z$44</definedName>
    <definedName name="_xlnm.Print_Area" localSheetId="10">'Table 5C1A-Madison Prep'!$A$2:$V$76</definedName>
    <definedName name="_xlnm.Print_Area" localSheetId="11">'Table 5C1B-DArbonne'!$A$2:$V$77</definedName>
    <definedName name="_xlnm.Print_Area" localSheetId="12">'Table 5C1C-Intl_VIBE'!$A$2:$V$76</definedName>
    <definedName name="_xlnm.Print_Area" localSheetId="13">'Table 5C1D-NOMMA'!$A$2:$V$76</definedName>
    <definedName name="_xlnm.Print_Area" localSheetId="14">'Table 5C1E-LFNO'!$A$2:$X$76</definedName>
    <definedName name="_xlnm.Print_Area" localSheetId="15">'Table 5C1F-Lake Charles Charter'!$A$2:$V$76</definedName>
    <definedName name="_xlnm.Print_Area" localSheetId="16">'Table 5C1G-JS Clark Academy'!$A$2:$V$76</definedName>
    <definedName name="_xlnm.Print_Area" localSheetId="17">'Table 5C1H-Southwest LA Charter'!$A$2:$V$76</definedName>
    <definedName name="_xlnm.Print_Area" localSheetId="18">'Table 5C1I-LA Key Academy'!$A$2:$V$76</definedName>
    <definedName name="_xlnm.Print_Area" localSheetId="19">'Table 5C1J-Jefferson Chamber'!$A$2:$V$76</definedName>
    <definedName name="_xlnm.Print_Area" localSheetId="20">'Table 5C1K-Tallulah Charter'!$A$2:$V$76</definedName>
    <definedName name="_xlnm.Print_Area" localSheetId="21">'Table 5C1L-Northshore Charter'!$A$2:$V$76</definedName>
    <definedName name="_xlnm.Print_Area" localSheetId="22">'Table 5C1M-EBR Charter'!$A$2:$V$76</definedName>
    <definedName name="_xlnm.Print_Area" localSheetId="23">'Table 5C1N-Delta Charter'!$A$2:$V$76</definedName>
    <definedName name="_xlnm.Print_Area" localSheetId="24">'Table 5C2 - LA Virtual Admy'!$A$1:$W$79</definedName>
    <definedName name="_xlnm.Print_Area" localSheetId="25">'Table 5C3 - LA Connections EBR'!$A$1:$W$79</definedName>
    <definedName name="_xlnm.Print_Area" localSheetId="26">'Table 5D- Legacy Type 2'!$A$1:$N$25</definedName>
    <definedName name="_xlnm.Print_Area" localSheetId="27">'Table 5E_OJJ'!$A$2:$W$77</definedName>
    <definedName name="_xlnm.Print_Area" localSheetId="28">'Table 6 (Local Deduct Calc.)'!$A$3:$J$78</definedName>
    <definedName name="_xlnm.Print_Area" localSheetId="29">'Table 7 Local Revenue'!$A$3:$AR$77</definedName>
    <definedName name="_xlnm.Print_Titles" localSheetId="30">'2-1-13 SIS'!$B:$B</definedName>
    <definedName name="_xlnm.Print_Titles" localSheetId="0">'Table 1 State Summary '!$1:$8</definedName>
    <definedName name="_xlnm.Print_Titles" localSheetId="1">'Table 2_State Distrib and Adjs'!$A:$B</definedName>
    <definedName name="_xlnm.Print_Titles" localSheetId="2">'Table 2A-1_EFT (Annual)'!$B:$B</definedName>
    <definedName name="_xlnm.Print_Titles" localSheetId="3">'Table 2A-2 EFT (Monthly)'!$A:$B</definedName>
    <definedName name="_xlnm.Print_Titles" localSheetId="4">'Table 3 Levels 1&amp;2'!$A:$B,'Table 3 Levels 1&amp;2'!$2:$7</definedName>
    <definedName name="_xlnm.Print_Titles" localSheetId="5">'Table 4 Level 3'!$A:$B</definedName>
    <definedName name="_xlnm.Print_Titles" localSheetId="7">'Table 5A Labs, NOCCA,LSMSA'!$1:$1</definedName>
    <definedName name="_xlnm.Print_Titles" localSheetId="8">'Table 5B1_RSD_Orleans'!$B:$B,'Table 5B1_RSD_Orleans'!$3:$6</definedName>
    <definedName name="_xlnm.Print_Titles" localSheetId="9">'Table 5B2_RSD_LA'!$A:$B</definedName>
    <definedName name="_xlnm.Print_Titles" localSheetId="10">'Table 5C1A-Madison Prep'!$A:$B,'Table 5C1A-Madison Prep'!$2:$6</definedName>
    <definedName name="_xlnm.Print_Titles" localSheetId="11">'Table 5C1B-DArbonne'!$A:$B,'Table 5C1B-DArbonne'!$2:$6</definedName>
    <definedName name="_xlnm.Print_Titles" localSheetId="12">'Table 5C1C-Intl_VIBE'!$A:$B,'Table 5C1C-Intl_VIBE'!$2:$6</definedName>
    <definedName name="_xlnm.Print_Titles" localSheetId="13">'Table 5C1D-NOMMA'!$A:$B,'Table 5C1D-NOMMA'!$2:$6</definedName>
    <definedName name="_xlnm.Print_Titles" localSheetId="14">'Table 5C1E-LFNO'!$A:$B,'Table 5C1E-LFNO'!$2:$6</definedName>
    <definedName name="_xlnm.Print_Titles" localSheetId="15">'Table 5C1F-Lake Charles Charter'!$A:$B,'Table 5C1F-Lake Charles Charter'!$2:$6</definedName>
    <definedName name="_xlnm.Print_Titles" localSheetId="16">'Table 5C1G-JS Clark Academy'!$A:$B,'Table 5C1G-JS Clark Academy'!$2:$6</definedName>
    <definedName name="_xlnm.Print_Titles" localSheetId="17">'Table 5C1H-Southwest LA Charter'!$A:$B,'Table 5C1H-Southwest LA Charter'!$2:$6</definedName>
    <definedName name="_xlnm.Print_Titles" localSheetId="18">'Table 5C1I-LA Key Academy'!$A:$B,'Table 5C1I-LA Key Academy'!$2:$6</definedName>
    <definedName name="_xlnm.Print_Titles" localSheetId="19">'Table 5C1J-Jefferson Chamber'!$A:$B,'Table 5C1J-Jefferson Chamber'!$2:$6</definedName>
    <definedName name="_xlnm.Print_Titles" localSheetId="20">'Table 5C1K-Tallulah Charter'!$A:$B,'Table 5C1K-Tallulah Charter'!$2:$6</definedName>
    <definedName name="_xlnm.Print_Titles" localSheetId="21">'Table 5C1L-Northshore Charter'!$A:$B,'Table 5C1L-Northshore Charter'!$2:$6</definedName>
    <definedName name="_xlnm.Print_Titles" localSheetId="22">'Table 5C1M-EBR Charter'!$A:$B,'Table 5C1M-EBR Charter'!$2:$6</definedName>
    <definedName name="_xlnm.Print_Titles" localSheetId="23">'Table 5C1N-Delta Charter'!$A:$B,'Table 5C1N-Delta Charter'!$2:$6</definedName>
    <definedName name="_xlnm.Print_Titles" localSheetId="24">'Table 5C2 - LA Virtual Admy'!$B:$B</definedName>
    <definedName name="_xlnm.Print_Titles" localSheetId="25">'Table 5C3 - LA Connections EBR'!$A:$B</definedName>
    <definedName name="_xlnm.Print_Titles" localSheetId="27">'Table 5E_OJJ'!$B:$B,'Table 5E_OJJ'!$2:$5</definedName>
    <definedName name="_xlnm.Print_Titles" localSheetId="28">'Table 6 (Local Deduct Calc.)'!$A:$B,'Table 6 (Local Deduct Calc.)'!$3:$8</definedName>
    <definedName name="_xlnm.Print_Titles" localSheetId="29">'Table 7 Local Revenue'!$A:$B,'Table 7 Local Revenue'!$1:$6</definedName>
  </definedNames>
  <calcPr calcId="145621"/>
</workbook>
</file>

<file path=xl/calcChain.xml><?xml version="1.0" encoding="utf-8"?>
<calcChain xmlns="http://schemas.openxmlformats.org/spreadsheetml/2006/main">
  <c r="N5" i="113" l="1"/>
  <c r="X5" i="72"/>
  <c r="Y5" i="72"/>
  <c r="D17" i="137" l="1"/>
  <c r="D16" i="137"/>
  <c r="D15" i="137"/>
  <c r="D14" i="137"/>
  <c r="D13" i="137"/>
  <c r="D12" i="137"/>
  <c r="D10" i="137"/>
  <c r="D11" i="137"/>
  <c r="N42" i="115"/>
  <c r="P19" i="117"/>
  <c r="N76" i="113"/>
  <c r="P76" i="117" s="1"/>
  <c r="N75" i="113"/>
  <c r="N74" i="113"/>
  <c r="N74" i="115" s="1"/>
  <c r="N73" i="113"/>
  <c r="N73" i="125" s="1"/>
  <c r="N72" i="113"/>
  <c r="N72" i="115" s="1"/>
  <c r="N71" i="113"/>
  <c r="N71" i="120" s="1"/>
  <c r="N70" i="113"/>
  <c r="N70" i="114" s="1"/>
  <c r="N69" i="113"/>
  <c r="N69" i="125" s="1"/>
  <c r="N68" i="113"/>
  <c r="N68" i="116" s="1"/>
  <c r="N67" i="113"/>
  <c r="P67" i="117" s="1"/>
  <c r="N66" i="113"/>
  <c r="N66" i="118" s="1"/>
  <c r="N65" i="113"/>
  <c r="N65" i="125" s="1"/>
  <c r="N64" i="113"/>
  <c r="N64" i="115" s="1"/>
  <c r="N63" i="113"/>
  <c r="P63" i="117" s="1"/>
  <c r="N62" i="113"/>
  <c r="N62" i="114" s="1"/>
  <c r="N61" i="113"/>
  <c r="P61" i="117" s="1"/>
  <c r="N60" i="113"/>
  <c r="N60" i="116" s="1"/>
  <c r="N59" i="113"/>
  <c r="P59" i="117" s="1"/>
  <c r="N58" i="113"/>
  <c r="N58" i="115" s="1"/>
  <c r="N57" i="113"/>
  <c r="N57" i="119" s="1"/>
  <c r="N56" i="113"/>
  <c r="N56" i="115" s="1"/>
  <c r="N55" i="113"/>
  <c r="P55" i="117" s="1"/>
  <c r="N54" i="113"/>
  <c r="N54" i="114" s="1"/>
  <c r="N53" i="113"/>
  <c r="N53" i="125" s="1"/>
  <c r="N52" i="113"/>
  <c r="N52" i="116" s="1"/>
  <c r="N51" i="113"/>
  <c r="P51" i="117" s="1"/>
  <c r="N50" i="113"/>
  <c r="N50" i="118" s="1"/>
  <c r="N49" i="113"/>
  <c r="N49" i="125" s="1"/>
  <c r="N48" i="113"/>
  <c r="N48" i="115" s="1"/>
  <c r="N47" i="113"/>
  <c r="P47" i="117" s="1"/>
  <c r="N46" i="113"/>
  <c r="N46" i="114" s="1"/>
  <c r="N45" i="113"/>
  <c r="P45" i="117" s="1"/>
  <c r="N44" i="113"/>
  <c r="N44" i="116" s="1"/>
  <c r="N43" i="113"/>
  <c r="N43" i="126" s="1"/>
  <c r="N42" i="113"/>
  <c r="N42" i="118" s="1"/>
  <c r="N41" i="113"/>
  <c r="N41" i="125" s="1"/>
  <c r="N40" i="113"/>
  <c r="N40" i="116" s="1"/>
  <c r="N39" i="113"/>
  <c r="N39" i="120" s="1"/>
  <c r="N38" i="113"/>
  <c r="N38" i="114" s="1"/>
  <c r="N37" i="113"/>
  <c r="N37" i="125" s="1"/>
  <c r="N36" i="113"/>
  <c r="N36" i="116" s="1"/>
  <c r="N35" i="113"/>
  <c r="N35" i="126" s="1"/>
  <c r="N34" i="113"/>
  <c r="N34" i="118" s="1"/>
  <c r="N33" i="113"/>
  <c r="N33" i="125" s="1"/>
  <c r="N32" i="113"/>
  <c r="N32" i="119" s="1"/>
  <c r="N31" i="113"/>
  <c r="P31" i="117" s="1"/>
  <c r="N30" i="113"/>
  <c r="N30" i="114" s="1"/>
  <c r="N29" i="113"/>
  <c r="P29" i="117" s="1"/>
  <c r="N28" i="113"/>
  <c r="N28" i="116" s="1"/>
  <c r="N27" i="113"/>
  <c r="N27" i="126" s="1"/>
  <c r="N26" i="113"/>
  <c r="N26" i="118" s="1"/>
  <c r="N25" i="113"/>
  <c r="N25" i="119" s="1"/>
  <c r="N24" i="113"/>
  <c r="N24" i="116" s="1"/>
  <c r="N23" i="113"/>
  <c r="P23" i="117" s="1"/>
  <c r="N22" i="113"/>
  <c r="N22" i="114" s="1"/>
  <c r="N21" i="113"/>
  <c r="N21" i="125" s="1"/>
  <c r="N20" i="113"/>
  <c r="N20" i="116" s="1"/>
  <c r="N19" i="113"/>
  <c r="N19" i="126" s="1"/>
  <c r="N18" i="113"/>
  <c r="N18" i="118" s="1"/>
  <c r="N17" i="113"/>
  <c r="N17" i="125" s="1"/>
  <c r="N16" i="113"/>
  <c r="N16" i="119" s="1"/>
  <c r="N15" i="113"/>
  <c r="P15" i="117" s="1"/>
  <c r="N14" i="113"/>
  <c r="N14" i="114" s="1"/>
  <c r="N13" i="113"/>
  <c r="P13" i="117" s="1"/>
  <c r="N12" i="113"/>
  <c r="N12" i="116" s="1"/>
  <c r="N11" i="113"/>
  <c r="N11" i="126" s="1"/>
  <c r="N10" i="113"/>
  <c r="N10" i="118" s="1"/>
  <c r="N9" i="113"/>
  <c r="N9" i="114" s="1"/>
  <c r="N8" i="113"/>
  <c r="N8" i="116" s="1"/>
  <c r="N7" i="113"/>
  <c r="N7" i="120" s="1"/>
  <c r="N74" i="114"/>
  <c r="N73" i="114"/>
  <c r="N34" i="114"/>
  <c r="N26" i="114"/>
  <c r="P35" i="46"/>
  <c r="P29" i="46"/>
  <c r="P28" i="46"/>
  <c r="P23" i="46"/>
  <c r="P11" i="46"/>
  <c r="P12" i="46"/>
  <c r="P13" i="46"/>
  <c r="P14" i="46"/>
  <c r="P15" i="46"/>
  <c r="P16" i="46"/>
  <c r="P17" i="46"/>
  <c r="P10" i="46"/>
  <c r="K43" i="31"/>
  <c r="K24" i="31"/>
  <c r="K22" i="31"/>
  <c r="K17" i="31"/>
  <c r="K68" i="31"/>
  <c r="K67" i="31"/>
  <c r="K66" i="31"/>
  <c r="K65" i="31"/>
  <c r="K64" i="31"/>
  <c r="K63" i="31"/>
  <c r="K62" i="31"/>
  <c r="K61" i="31"/>
  <c r="K60" i="31"/>
  <c r="K59" i="31"/>
  <c r="K58" i="31"/>
  <c r="K57" i="31"/>
  <c r="K56" i="31"/>
  <c r="K55" i="31"/>
  <c r="K54" i="31"/>
  <c r="K53" i="31"/>
  <c r="K52" i="31"/>
  <c r="K51" i="31"/>
  <c r="K50" i="31"/>
  <c r="K49" i="31"/>
  <c r="K48" i="31"/>
  <c r="K47" i="31"/>
  <c r="K46" i="31"/>
  <c r="K45" i="31"/>
  <c r="K44" i="31"/>
  <c r="K42" i="31"/>
  <c r="K41" i="31"/>
  <c r="K40" i="31"/>
  <c r="K39" i="31"/>
  <c r="K38" i="31"/>
  <c r="K37" i="31"/>
  <c r="K36" i="31"/>
  <c r="K35" i="31"/>
  <c r="K34" i="31"/>
  <c r="K33" i="31"/>
  <c r="K32" i="31"/>
  <c r="K31" i="31"/>
  <c r="K30" i="31"/>
  <c r="K29" i="31"/>
  <c r="K28" i="31"/>
  <c r="K27" i="31"/>
  <c r="K26" i="31"/>
  <c r="K25" i="31"/>
  <c r="K23" i="31"/>
  <c r="K21" i="31"/>
  <c r="K20" i="31"/>
  <c r="K19" i="31"/>
  <c r="K18" i="31"/>
  <c r="K16" i="31"/>
  <c r="K15" i="31"/>
  <c r="K14" i="31"/>
  <c r="K13" i="31"/>
  <c r="K12" i="31"/>
  <c r="K9" i="31"/>
  <c r="N50" i="114" l="1"/>
  <c r="N23" i="119"/>
  <c r="N63" i="120"/>
  <c r="N58" i="114"/>
  <c r="N57" i="114"/>
  <c r="P35" i="117"/>
  <c r="N39" i="119"/>
  <c r="N55" i="126"/>
  <c r="N41" i="114"/>
  <c r="N55" i="119"/>
  <c r="N62" i="115"/>
  <c r="N42" i="114"/>
  <c r="N66" i="114"/>
  <c r="N7" i="119"/>
  <c r="N71" i="119"/>
  <c r="P72" i="117"/>
  <c r="N28" i="119"/>
  <c r="N60" i="119"/>
  <c r="N54" i="115"/>
  <c r="N46" i="115"/>
  <c r="N10" i="114"/>
  <c r="N33" i="114"/>
  <c r="N49" i="114"/>
  <c r="N65" i="114"/>
  <c r="N12" i="119"/>
  <c r="N44" i="119"/>
  <c r="N31" i="120"/>
  <c r="N70" i="115"/>
  <c r="N9" i="116"/>
  <c r="N41" i="116"/>
  <c r="N73" i="116"/>
  <c r="N13" i="118"/>
  <c r="N17" i="114"/>
  <c r="N37" i="114"/>
  <c r="N45" i="114"/>
  <c r="N53" i="114"/>
  <c r="N61" i="114"/>
  <c r="N69" i="114"/>
  <c r="N17" i="116"/>
  <c r="N33" i="116"/>
  <c r="N49" i="116"/>
  <c r="N65" i="116"/>
  <c r="P11" i="117"/>
  <c r="P27" i="117"/>
  <c r="P43" i="117"/>
  <c r="N7" i="118"/>
  <c r="N23" i="118"/>
  <c r="N39" i="118"/>
  <c r="N55" i="118"/>
  <c r="N71" i="118"/>
  <c r="N17" i="119"/>
  <c r="N33" i="119"/>
  <c r="N49" i="119"/>
  <c r="N65" i="119"/>
  <c r="N15" i="120"/>
  <c r="N47" i="120"/>
  <c r="N9" i="125"/>
  <c r="N18" i="114"/>
  <c r="N21" i="116"/>
  <c r="N37" i="116"/>
  <c r="N53" i="116"/>
  <c r="N69" i="116"/>
  <c r="N58" i="118"/>
  <c r="N74" i="118"/>
  <c r="N20" i="119"/>
  <c r="N36" i="119"/>
  <c r="N52" i="119"/>
  <c r="N68" i="119"/>
  <c r="N23" i="120"/>
  <c r="N55" i="120"/>
  <c r="N66" i="115"/>
  <c r="N50" i="115"/>
  <c r="N25" i="116"/>
  <c r="N57" i="116"/>
  <c r="N29" i="118"/>
  <c r="N45" i="118"/>
  <c r="N61" i="118"/>
  <c r="N25" i="125"/>
  <c r="N57" i="125"/>
  <c r="N25" i="114"/>
  <c r="N13" i="116"/>
  <c r="N29" i="116"/>
  <c r="N45" i="116"/>
  <c r="N61" i="116"/>
  <c r="P7" i="117"/>
  <c r="P39" i="117"/>
  <c r="N13" i="114"/>
  <c r="N21" i="114"/>
  <c r="N29" i="114"/>
  <c r="N7" i="131"/>
  <c r="O4" i="80"/>
  <c r="N7" i="127"/>
  <c r="N7" i="114"/>
  <c r="N7" i="129"/>
  <c r="N7" i="128"/>
  <c r="O4" i="76"/>
  <c r="N7" i="115"/>
  <c r="N7" i="125"/>
  <c r="N11" i="114"/>
  <c r="O8" i="80"/>
  <c r="N11" i="131"/>
  <c r="N11" i="129"/>
  <c r="N11" i="115"/>
  <c r="N11" i="125"/>
  <c r="O8" i="76"/>
  <c r="N11" i="127"/>
  <c r="N11" i="119"/>
  <c r="N11" i="118"/>
  <c r="N11" i="128"/>
  <c r="N15" i="114"/>
  <c r="N15" i="131"/>
  <c r="O12" i="80"/>
  <c r="O12" i="76"/>
  <c r="N15" i="127"/>
  <c r="N15" i="128"/>
  <c r="N15" i="115"/>
  <c r="N15" i="125"/>
  <c r="N15" i="129"/>
  <c r="N19" i="114"/>
  <c r="O16" i="80"/>
  <c r="N19" i="128"/>
  <c r="N19" i="131"/>
  <c r="N19" i="115"/>
  <c r="N19" i="125"/>
  <c r="N19" i="119"/>
  <c r="N19" i="118"/>
  <c r="N19" i="129"/>
  <c r="N19" i="127"/>
  <c r="O16" i="76"/>
  <c r="N23" i="114"/>
  <c r="N23" i="131"/>
  <c r="O20" i="80"/>
  <c r="N23" i="128"/>
  <c r="N23" i="127"/>
  <c r="N23" i="129"/>
  <c r="O20" i="76"/>
  <c r="N23" i="115"/>
  <c r="N23" i="125"/>
  <c r="N27" i="114"/>
  <c r="O24" i="80"/>
  <c r="N27" i="128"/>
  <c r="N27" i="131"/>
  <c r="N27" i="129"/>
  <c r="N27" i="115"/>
  <c r="N27" i="125"/>
  <c r="O24" i="76"/>
  <c r="N27" i="127"/>
  <c r="N27" i="119"/>
  <c r="N27" i="118"/>
  <c r="N31" i="114"/>
  <c r="N31" i="131"/>
  <c r="O28" i="80"/>
  <c r="N31" i="128"/>
  <c r="O28" i="76"/>
  <c r="N31" i="127"/>
  <c r="N31" i="115"/>
  <c r="N31" i="125"/>
  <c r="N31" i="129"/>
  <c r="N35" i="114"/>
  <c r="O32" i="80"/>
  <c r="N35" i="128"/>
  <c r="N35" i="131"/>
  <c r="N35" i="115"/>
  <c r="N35" i="125"/>
  <c r="N35" i="119"/>
  <c r="N35" i="118"/>
  <c r="N35" i="129"/>
  <c r="N35" i="127"/>
  <c r="O32" i="76"/>
  <c r="N39" i="114"/>
  <c r="N39" i="131"/>
  <c r="O36" i="80"/>
  <c r="N39" i="128"/>
  <c r="N39" i="127"/>
  <c r="N39" i="129"/>
  <c r="O36" i="76"/>
  <c r="N39" i="115"/>
  <c r="N39" i="125"/>
  <c r="N43" i="114"/>
  <c r="O40" i="80"/>
  <c r="N43" i="128"/>
  <c r="N43" i="131"/>
  <c r="N43" i="115"/>
  <c r="N43" i="129"/>
  <c r="N43" i="125"/>
  <c r="O40" i="76"/>
  <c r="N43" i="127"/>
  <c r="N43" i="119"/>
  <c r="N43" i="118"/>
  <c r="N47" i="114"/>
  <c r="N47" i="131"/>
  <c r="O44" i="80"/>
  <c r="N47" i="128"/>
  <c r="N47" i="115"/>
  <c r="O44" i="76"/>
  <c r="N47" i="127"/>
  <c r="N47" i="125"/>
  <c r="N47" i="129"/>
  <c r="N51" i="114"/>
  <c r="O48" i="80"/>
  <c r="N51" i="128"/>
  <c r="N51" i="131"/>
  <c r="N51" i="115"/>
  <c r="N51" i="125"/>
  <c r="N51" i="119"/>
  <c r="N51" i="118"/>
  <c r="N51" i="126"/>
  <c r="N51" i="129"/>
  <c r="N51" i="127"/>
  <c r="O48" i="76"/>
  <c r="N55" i="114"/>
  <c r="N55" i="131"/>
  <c r="O52" i="80"/>
  <c r="N55" i="128"/>
  <c r="N55" i="115"/>
  <c r="N55" i="127"/>
  <c r="N55" i="129"/>
  <c r="O52" i="76"/>
  <c r="N55" i="125"/>
  <c r="N59" i="114"/>
  <c r="O56" i="80"/>
  <c r="N59" i="128"/>
  <c r="N59" i="131"/>
  <c r="N59" i="115"/>
  <c r="N59" i="129"/>
  <c r="N59" i="125"/>
  <c r="O56" i="76"/>
  <c r="N59" i="126"/>
  <c r="N59" i="127"/>
  <c r="N59" i="119"/>
  <c r="N59" i="118"/>
  <c r="N63" i="114"/>
  <c r="N63" i="131"/>
  <c r="O60" i="80"/>
  <c r="N63" i="128"/>
  <c r="N63" i="115"/>
  <c r="O60" i="76"/>
  <c r="N63" i="127"/>
  <c r="N63" i="125"/>
  <c r="N63" i="129"/>
  <c r="N63" i="126"/>
  <c r="N67" i="114"/>
  <c r="O64" i="80"/>
  <c r="N67" i="128"/>
  <c r="N67" i="131"/>
  <c r="N67" i="115"/>
  <c r="N67" i="125"/>
  <c r="N67" i="119"/>
  <c r="N67" i="118"/>
  <c r="N67" i="126"/>
  <c r="N67" i="129"/>
  <c r="N67" i="127"/>
  <c r="O64" i="76"/>
  <c r="N71" i="114"/>
  <c r="N71" i="131"/>
  <c r="O68" i="80"/>
  <c r="N71" i="128"/>
  <c r="N71" i="115"/>
  <c r="N71" i="127"/>
  <c r="N71" i="129"/>
  <c r="O68" i="76"/>
  <c r="N71" i="125"/>
  <c r="P71" i="117"/>
  <c r="N71" i="126"/>
  <c r="N75" i="114"/>
  <c r="O72" i="80"/>
  <c r="N75" i="128"/>
  <c r="N75" i="131"/>
  <c r="N75" i="115"/>
  <c r="N75" i="129"/>
  <c r="N75" i="125"/>
  <c r="O72" i="76"/>
  <c r="N75" i="126"/>
  <c r="N75" i="127"/>
  <c r="N75" i="119"/>
  <c r="N75" i="118"/>
  <c r="N11" i="116"/>
  <c r="N19" i="116"/>
  <c r="N27" i="116"/>
  <c r="N35" i="116"/>
  <c r="N43" i="116"/>
  <c r="N51" i="116"/>
  <c r="N59" i="116"/>
  <c r="N67" i="116"/>
  <c r="N75" i="116"/>
  <c r="P21" i="117"/>
  <c r="P37" i="117"/>
  <c r="P53" i="117"/>
  <c r="P69" i="117"/>
  <c r="N21" i="118"/>
  <c r="N31" i="118"/>
  <c r="N53" i="118"/>
  <c r="N63" i="118"/>
  <c r="N15" i="119"/>
  <c r="N47" i="119"/>
  <c r="N11" i="120"/>
  <c r="N27" i="120"/>
  <c r="N43" i="120"/>
  <c r="N59" i="120"/>
  <c r="N75" i="120"/>
  <c r="N15" i="126"/>
  <c r="N31" i="126"/>
  <c r="N47" i="126"/>
  <c r="O6" i="76"/>
  <c r="N9" i="129"/>
  <c r="O6" i="80"/>
  <c r="N9" i="128"/>
  <c r="N9" i="120"/>
  <c r="N9" i="118"/>
  <c r="N9" i="126"/>
  <c r="N9" i="131"/>
  <c r="N9" i="127"/>
  <c r="N9" i="115"/>
  <c r="N13" i="129"/>
  <c r="O10" i="76"/>
  <c r="N13" i="126"/>
  <c r="N13" i="119"/>
  <c r="N13" i="127"/>
  <c r="N13" i="115"/>
  <c r="N13" i="131"/>
  <c r="N13" i="128"/>
  <c r="N13" i="120"/>
  <c r="O10" i="80"/>
  <c r="O14" i="76"/>
  <c r="N17" i="129"/>
  <c r="N17" i="128"/>
  <c r="N17" i="120"/>
  <c r="N17" i="131"/>
  <c r="O14" i="80"/>
  <c r="N17" i="126"/>
  <c r="N17" i="118"/>
  <c r="N17" i="127"/>
  <c r="N17" i="115"/>
  <c r="N21" i="129"/>
  <c r="O18" i="76"/>
  <c r="N21" i="131"/>
  <c r="N21" i="126"/>
  <c r="O18" i="80"/>
  <c r="N21" i="127"/>
  <c r="N21" i="115"/>
  <c r="N21" i="120"/>
  <c r="N21" i="119"/>
  <c r="N21" i="128"/>
  <c r="O22" i="76"/>
  <c r="N25" i="129"/>
  <c r="O22" i="80"/>
  <c r="N25" i="120"/>
  <c r="N25" i="118"/>
  <c r="N25" i="128"/>
  <c r="N25" i="126"/>
  <c r="N25" i="131"/>
  <c r="N25" i="127"/>
  <c r="N25" i="115"/>
  <c r="N29" i="129"/>
  <c r="O26" i="76"/>
  <c r="N29" i="126"/>
  <c r="N29" i="119"/>
  <c r="N29" i="128"/>
  <c r="N29" i="127"/>
  <c r="N29" i="115"/>
  <c r="N29" i="131"/>
  <c r="N29" i="120"/>
  <c r="O26" i="80"/>
  <c r="O30" i="76"/>
  <c r="N33" i="129"/>
  <c r="N33" i="128"/>
  <c r="N33" i="120"/>
  <c r="N33" i="131"/>
  <c r="O30" i="80"/>
  <c r="N33" i="126"/>
  <c r="N33" i="118"/>
  <c r="N33" i="127"/>
  <c r="N33" i="115"/>
  <c r="N37" i="129"/>
  <c r="O34" i="76"/>
  <c r="N37" i="131"/>
  <c r="N37" i="126"/>
  <c r="O34" i="80"/>
  <c r="N37" i="127"/>
  <c r="N37" i="115"/>
  <c r="N37" i="120"/>
  <c r="N37" i="119"/>
  <c r="N37" i="128"/>
  <c r="O38" i="76"/>
  <c r="N41" i="129"/>
  <c r="O38" i="80"/>
  <c r="N41" i="120"/>
  <c r="N41" i="118"/>
  <c r="N41" i="128"/>
  <c r="N41" i="126"/>
  <c r="N41" i="131"/>
  <c r="N41" i="127"/>
  <c r="N41" i="115"/>
  <c r="N45" i="129"/>
  <c r="N45" i="115"/>
  <c r="O42" i="76"/>
  <c r="N45" i="126"/>
  <c r="N45" i="119"/>
  <c r="N45" i="128"/>
  <c r="N45" i="127"/>
  <c r="N45" i="131"/>
  <c r="N45" i="120"/>
  <c r="O42" i="80"/>
  <c r="O46" i="76"/>
  <c r="N49" i="115"/>
  <c r="N49" i="129"/>
  <c r="N49" i="128"/>
  <c r="N49" i="120"/>
  <c r="N49" i="131"/>
  <c r="O46" i="80"/>
  <c r="N49" i="126"/>
  <c r="N49" i="118"/>
  <c r="N49" i="127"/>
  <c r="N53" i="129"/>
  <c r="N53" i="115"/>
  <c r="O50" i="76"/>
  <c r="N53" i="131"/>
  <c r="N53" i="126"/>
  <c r="O50" i="80"/>
  <c r="N53" i="127"/>
  <c r="N53" i="120"/>
  <c r="N53" i="119"/>
  <c r="N53" i="128"/>
  <c r="O54" i="76"/>
  <c r="N57" i="115"/>
  <c r="N57" i="129"/>
  <c r="O54" i="80"/>
  <c r="N57" i="120"/>
  <c r="N57" i="118"/>
  <c r="N57" i="128"/>
  <c r="N57" i="126"/>
  <c r="N57" i="131"/>
  <c r="N57" i="127"/>
  <c r="N61" i="129"/>
  <c r="N61" i="115"/>
  <c r="O58" i="76"/>
  <c r="N61" i="126"/>
  <c r="N61" i="119"/>
  <c r="N61" i="128"/>
  <c r="N61" i="127"/>
  <c r="N61" i="131"/>
  <c r="N61" i="120"/>
  <c r="O58" i="80"/>
  <c r="O62" i="76"/>
  <c r="N65" i="115"/>
  <c r="N65" i="129"/>
  <c r="N65" i="128"/>
  <c r="N65" i="120"/>
  <c r="N65" i="131"/>
  <c r="O62" i="80"/>
  <c r="N65" i="126"/>
  <c r="N65" i="118"/>
  <c r="N65" i="127"/>
  <c r="N69" i="129"/>
  <c r="N69" i="115"/>
  <c r="O66" i="76"/>
  <c r="N69" i="131"/>
  <c r="N69" i="126"/>
  <c r="O66" i="80"/>
  <c r="N69" i="127"/>
  <c r="N69" i="120"/>
  <c r="N69" i="119"/>
  <c r="N69" i="128"/>
  <c r="O70" i="76"/>
  <c r="N73" i="115"/>
  <c r="N73" i="129"/>
  <c r="O70" i="80"/>
  <c r="N73" i="120"/>
  <c r="N73" i="118"/>
  <c r="P73" i="117"/>
  <c r="N73" i="128"/>
  <c r="N73" i="126"/>
  <c r="N73" i="131"/>
  <c r="N73" i="127"/>
  <c r="N7" i="116"/>
  <c r="N15" i="116"/>
  <c r="N23" i="116"/>
  <c r="N31" i="116"/>
  <c r="N39" i="116"/>
  <c r="N47" i="116"/>
  <c r="N55" i="116"/>
  <c r="N63" i="116"/>
  <c r="N71" i="116"/>
  <c r="P9" i="117"/>
  <c r="P17" i="117"/>
  <c r="P25" i="117"/>
  <c r="P33" i="117"/>
  <c r="P41" i="117"/>
  <c r="P49" i="117"/>
  <c r="P57" i="117"/>
  <c r="P65" i="117"/>
  <c r="P75" i="117"/>
  <c r="N15" i="118"/>
  <c r="N37" i="118"/>
  <c r="N47" i="118"/>
  <c r="N69" i="118"/>
  <c r="N9" i="119"/>
  <c r="N31" i="119"/>
  <c r="N41" i="119"/>
  <c r="N63" i="119"/>
  <c r="N73" i="119"/>
  <c r="N19" i="120"/>
  <c r="N35" i="120"/>
  <c r="N51" i="120"/>
  <c r="N67" i="120"/>
  <c r="N13" i="125"/>
  <c r="N29" i="125"/>
  <c r="N45" i="125"/>
  <c r="N61" i="125"/>
  <c r="N7" i="126"/>
  <c r="N23" i="126"/>
  <c r="N39" i="126"/>
  <c r="O7" i="76"/>
  <c r="N10" i="129"/>
  <c r="O7" i="80"/>
  <c r="N10" i="131"/>
  <c r="N10" i="128"/>
  <c r="N10" i="125"/>
  <c r="N10" i="119"/>
  <c r="N10" i="127"/>
  <c r="N10" i="115"/>
  <c r="N10" i="126"/>
  <c r="N10" i="120"/>
  <c r="O11" i="76"/>
  <c r="N14" i="129"/>
  <c r="O11" i="80"/>
  <c r="N14" i="131"/>
  <c r="N14" i="128"/>
  <c r="N14" i="125"/>
  <c r="N14" i="119"/>
  <c r="N14" i="127"/>
  <c r="N14" i="115"/>
  <c r="N14" i="126"/>
  <c r="N14" i="120"/>
  <c r="O15" i="76"/>
  <c r="N18" i="129"/>
  <c r="O15" i="80"/>
  <c r="N18" i="131"/>
  <c r="N18" i="128"/>
  <c r="N18" i="125"/>
  <c r="N18" i="119"/>
  <c r="N18" i="127"/>
  <c r="N18" i="115"/>
  <c r="N18" i="126"/>
  <c r="N18" i="120"/>
  <c r="O19" i="76"/>
  <c r="N22" i="129"/>
  <c r="O19" i="80"/>
  <c r="N22" i="131"/>
  <c r="N22" i="128"/>
  <c r="N22" i="125"/>
  <c r="N22" i="119"/>
  <c r="N22" i="127"/>
  <c r="N22" i="115"/>
  <c r="N22" i="126"/>
  <c r="N22" i="120"/>
  <c r="O23" i="76"/>
  <c r="N26" i="129"/>
  <c r="O23" i="80"/>
  <c r="N26" i="131"/>
  <c r="N26" i="128"/>
  <c r="N26" i="125"/>
  <c r="N26" i="119"/>
  <c r="N26" i="127"/>
  <c r="N26" i="115"/>
  <c r="N26" i="126"/>
  <c r="N26" i="120"/>
  <c r="O27" i="76"/>
  <c r="N30" i="129"/>
  <c r="O27" i="80"/>
  <c r="N30" i="131"/>
  <c r="N30" i="128"/>
  <c r="N30" i="125"/>
  <c r="N30" i="119"/>
  <c r="N30" i="127"/>
  <c r="N30" i="115"/>
  <c r="N30" i="126"/>
  <c r="N30" i="120"/>
  <c r="O31" i="76"/>
  <c r="N34" i="129"/>
  <c r="O31" i="80"/>
  <c r="N34" i="131"/>
  <c r="N34" i="128"/>
  <c r="N34" i="125"/>
  <c r="N34" i="119"/>
  <c r="N34" i="127"/>
  <c r="N34" i="115"/>
  <c r="N34" i="126"/>
  <c r="N34" i="120"/>
  <c r="O35" i="76"/>
  <c r="N38" i="129"/>
  <c r="O35" i="80"/>
  <c r="N38" i="131"/>
  <c r="N38" i="128"/>
  <c r="N38" i="125"/>
  <c r="N38" i="119"/>
  <c r="N38" i="127"/>
  <c r="N38" i="115"/>
  <c r="N38" i="126"/>
  <c r="N38" i="120"/>
  <c r="O39" i="76"/>
  <c r="N42" i="129"/>
  <c r="O39" i="80"/>
  <c r="N42" i="131"/>
  <c r="N42" i="128"/>
  <c r="N42" i="125"/>
  <c r="N42" i="119"/>
  <c r="N42" i="127"/>
  <c r="N42" i="126"/>
  <c r="N42" i="120"/>
  <c r="O43" i="76"/>
  <c r="N46" i="129"/>
  <c r="O43" i="80"/>
  <c r="N46" i="131"/>
  <c r="N46" i="128"/>
  <c r="N46" i="125"/>
  <c r="N46" i="119"/>
  <c r="N46" i="127"/>
  <c r="N46" i="126"/>
  <c r="N46" i="120"/>
  <c r="O47" i="76"/>
  <c r="N50" i="129"/>
  <c r="O47" i="80"/>
  <c r="N50" i="131"/>
  <c r="N50" i="128"/>
  <c r="N50" i="125"/>
  <c r="N50" i="119"/>
  <c r="N50" i="127"/>
  <c r="N50" i="126"/>
  <c r="N50" i="120"/>
  <c r="O51" i="76"/>
  <c r="N54" i="129"/>
  <c r="O51" i="80"/>
  <c r="N54" i="131"/>
  <c r="N54" i="128"/>
  <c r="N54" i="125"/>
  <c r="N54" i="119"/>
  <c r="N54" i="127"/>
  <c r="N54" i="126"/>
  <c r="N54" i="120"/>
  <c r="O55" i="76"/>
  <c r="N58" i="129"/>
  <c r="O55" i="80"/>
  <c r="N58" i="131"/>
  <c r="N58" i="128"/>
  <c r="N58" i="125"/>
  <c r="N58" i="119"/>
  <c r="N58" i="127"/>
  <c r="N58" i="126"/>
  <c r="N58" i="120"/>
  <c r="O59" i="76"/>
  <c r="N62" i="129"/>
  <c r="O59" i="80"/>
  <c r="N62" i="131"/>
  <c r="N62" i="128"/>
  <c r="N62" i="125"/>
  <c r="N62" i="119"/>
  <c r="N62" i="127"/>
  <c r="N62" i="126"/>
  <c r="N62" i="120"/>
  <c r="O63" i="76"/>
  <c r="N66" i="129"/>
  <c r="O63" i="80"/>
  <c r="N66" i="131"/>
  <c r="N66" i="128"/>
  <c r="N66" i="125"/>
  <c r="N66" i="119"/>
  <c r="N66" i="127"/>
  <c r="N66" i="126"/>
  <c r="N66" i="120"/>
  <c r="O67" i="76"/>
  <c r="N70" i="129"/>
  <c r="O67" i="80"/>
  <c r="N70" i="131"/>
  <c r="N70" i="128"/>
  <c r="N70" i="125"/>
  <c r="N70" i="119"/>
  <c r="P70" i="117"/>
  <c r="N70" i="127"/>
  <c r="N70" i="126"/>
  <c r="N70" i="120"/>
  <c r="O71" i="76"/>
  <c r="N74" i="129"/>
  <c r="O71" i="80"/>
  <c r="N74" i="131"/>
  <c r="N74" i="128"/>
  <c r="N74" i="125"/>
  <c r="N74" i="119"/>
  <c r="P74" i="117"/>
  <c r="N74" i="127"/>
  <c r="N74" i="126"/>
  <c r="N74" i="120"/>
  <c r="N16" i="116"/>
  <c r="N32" i="116"/>
  <c r="N48" i="116"/>
  <c r="N56" i="116"/>
  <c r="N64" i="116"/>
  <c r="N72" i="116"/>
  <c r="N76" i="116"/>
  <c r="P10" i="117"/>
  <c r="P14" i="117"/>
  <c r="P18" i="117"/>
  <c r="P22" i="117"/>
  <c r="P26" i="117"/>
  <c r="P30" i="117"/>
  <c r="P34" i="117"/>
  <c r="P38" i="117"/>
  <c r="P42" i="117"/>
  <c r="P46" i="117"/>
  <c r="P50" i="117"/>
  <c r="P54" i="117"/>
  <c r="P58" i="117"/>
  <c r="P62" i="117"/>
  <c r="P66" i="117"/>
  <c r="N22" i="118"/>
  <c r="N38" i="118"/>
  <c r="N54" i="118"/>
  <c r="N70" i="118"/>
  <c r="N48" i="119"/>
  <c r="N64" i="119"/>
  <c r="N8" i="114"/>
  <c r="O5" i="80"/>
  <c r="N8" i="131"/>
  <c r="O5" i="76"/>
  <c r="N8" i="129"/>
  <c r="N8" i="127"/>
  <c r="N8" i="115"/>
  <c r="N8" i="126"/>
  <c r="N8" i="120"/>
  <c r="N8" i="118"/>
  <c r="N8" i="128"/>
  <c r="N8" i="125"/>
  <c r="N12" i="114"/>
  <c r="O9" i="80"/>
  <c r="N12" i="131"/>
  <c r="O9" i="76"/>
  <c r="N12" i="129"/>
  <c r="N12" i="127"/>
  <c r="N12" i="115"/>
  <c r="N12" i="126"/>
  <c r="N12" i="120"/>
  <c r="N12" i="118"/>
  <c r="N12" i="128"/>
  <c r="N12" i="125"/>
  <c r="N16" i="114"/>
  <c r="O13" i="80"/>
  <c r="N16" i="131"/>
  <c r="O13" i="76"/>
  <c r="N16" i="129"/>
  <c r="N16" i="127"/>
  <c r="N16" i="115"/>
  <c r="N16" i="126"/>
  <c r="N16" i="120"/>
  <c r="N16" i="118"/>
  <c r="N16" i="128"/>
  <c r="N16" i="125"/>
  <c r="N20" i="114"/>
  <c r="O17" i="80"/>
  <c r="N20" i="131"/>
  <c r="N20" i="128"/>
  <c r="O17" i="76"/>
  <c r="N20" i="129"/>
  <c r="N20" i="127"/>
  <c r="N20" i="115"/>
  <c r="N20" i="126"/>
  <c r="N20" i="120"/>
  <c r="N20" i="118"/>
  <c r="N20" i="125"/>
  <c r="N24" i="114"/>
  <c r="O21" i="80"/>
  <c r="N24" i="131"/>
  <c r="N24" i="128"/>
  <c r="O21" i="76"/>
  <c r="N24" i="129"/>
  <c r="N24" i="127"/>
  <c r="N24" i="115"/>
  <c r="N24" i="126"/>
  <c r="N24" i="120"/>
  <c r="N24" i="118"/>
  <c r="N24" i="125"/>
  <c r="N28" i="114"/>
  <c r="O25" i="80"/>
  <c r="N28" i="131"/>
  <c r="N28" i="128"/>
  <c r="O25" i="76"/>
  <c r="N28" i="129"/>
  <c r="N28" i="127"/>
  <c r="N28" i="115"/>
  <c r="N28" i="126"/>
  <c r="N28" i="120"/>
  <c r="N28" i="118"/>
  <c r="N28" i="125"/>
  <c r="N32" i="114"/>
  <c r="O29" i="80"/>
  <c r="N32" i="131"/>
  <c r="N32" i="128"/>
  <c r="O29" i="76"/>
  <c r="N32" i="129"/>
  <c r="N32" i="127"/>
  <c r="N32" i="115"/>
  <c r="N32" i="126"/>
  <c r="N32" i="120"/>
  <c r="N32" i="118"/>
  <c r="N32" i="125"/>
  <c r="N36" i="114"/>
  <c r="O33" i="80"/>
  <c r="N36" i="131"/>
  <c r="N36" i="128"/>
  <c r="O33" i="76"/>
  <c r="N36" i="129"/>
  <c r="N36" i="127"/>
  <c r="N36" i="115"/>
  <c r="N36" i="126"/>
  <c r="N36" i="120"/>
  <c r="N36" i="118"/>
  <c r="N36" i="125"/>
  <c r="N40" i="114"/>
  <c r="O37" i="80"/>
  <c r="N40" i="131"/>
  <c r="N40" i="128"/>
  <c r="O37" i="76"/>
  <c r="N40" i="129"/>
  <c r="N40" i="127"/>
  <c r="N40" i="115"/>
  <c r="N40" i="126"/>
  <c r="N40" i="120"/>
  <c r="N40" i="118"/>
  <c r="N40" i="125"/>
  <c r="N44" i="114"/>
  <c r="O41" i="80"/>
  <c r="N44" i="131"/>
  <c r="N44" i="128"/>
  <c r="O41" i="76"/>
  <c r="N44" i="129"/>
  <c r="N44" i="127"/>
  <c r="N44" i="126"/>
  <c r="N44" i="120"/>
  <c r="N44" i="118"/>
  <c r="N44" i="125"/>
  <c r="N48" i="114"/>
  <c r="O45" i="80"/>
  <c r="N48" i="131"/>
  <c r="N48" i="128"/>
  <c r="O45" i="76"/>
  <c r="N48" i="129"/>
  <c r="N48" i="127"/>
  <c r="N48" i="126"/>
  <c r="N48" i="120"/>
  <c r="N48" i="118"/>
  <c r="N48" i="125"/>
  <c r="N52" i="114"/>
  <c r="O49" i="80"/>
  <c r="N52" i="131"/>
  <c r="N52" i="128"/>
  <c r="O49" i="76"/>
  <c r="N52" i="129"/>
  <c r="N52" i="127"/>
  <c r="N52" i="126"/>
  <c r="N52" i="120"/>
  <c r="N52" i="118"/>
  <c r="N52" i="125"/>
  <c r="N56" i="114"/>
  <c r="O53" i="80"/>
  <c r="N56" i="131"/>
  <c r="N56" i="128"/>
  <c r="O53" i="76"/>
  <c r="N56" i="129"/>
  <c r="N56" i="127"/>
  <c r="N56" i="126"/>
  <c r="N56" i="120"/>
  <c r="N56" i="118"/>
  <c r="N56" i="125"/>
  <c r="N60" i="114"/>
  <c r="O57" i="80"/>
  <c r="N60" i="131"/>
  <c r="N60" i="128"/>
  <c r="O57" i="76"/>
  <c r="N60" i="129"/>
  <c r="N60" i="127"/>
  <c r="N60" i="126"/>
  <c r="N60" i="120"/>
  <c r="N60" i="118"/>
  <c r="N60" i="125"/>
  <c r="N64" i="114"/>
  <c r="O61" i="80"/>
  <c r="N64" i="131"/>
  <c r="N64" i="128"/>
  <c r="O61" i="76"/>
  <c r="N64" i="129"/>
  <c r="N64" i="127"/>
  <c r="N64" i="126"/>
  <c r="N64" i="120"/>
  <c r="N64" i="118"/>
  <c r="N64" i="125"/>
  <c r="N68" i="114"/>
  <c r="O65" i="80"/>
  <c r="N68" i="131"/>
  <c r="N68" i="128"/>
  <c r="O65" i="76"/>
  <c r="N68" i="129"/>
  <c r="N68" i="127"/>
  <c r="N68" i="126"/>
  <c r="N68" i="120"/>
  <c r="N68" i="118"/>
  <c r="N68" i="125"/>
  <c r="N72" i="114"/>
  <c r="O69" i="80"/>
  <c r="N72" i="131"/>
  <c r="N72" i="128"/>
  <c r="O69" i="76"/>
  <c r="N72" i="129"/>
  <c r="N72" i="127"/>
  <c r="N72" i="126"/>
  <c r="N72" i="120"/>
  <c r="N72" i="118"/>
  <c r="N72" i="125"/>
  <c r="N77" i="114"/>
  <c r="O73" i="80"/>
  <c r="N76" i="131"/>
  <c r="N76" i="128"/>
  <c r="O73" i="76"/>
  <c r="N76" i="129"/>
  <c r="N76" i="127"/>
  <c r="N76" i="126"/>
  <c r="N76" i="120"/>
  <c r="N76" i="118"/>
  <c r="N76" i="125"/>
  <c r="N76" i="119"/>
  <c r="N10" i="116"/>
  <c r="N14" i="116"/>
  <c r="N18" i="116"/>
  <c r="N22" i="116"/>
  <c r="N26" i="116"/>
  <c r="N30" i="116"/>
  <c r="N34" i="116"/>
  <c r="N38" i="116"/>
  <c r="N42" i="116"/>
  <c r="N46" i="116"/>
  <c r="N50" i="116"/>
  <c r="N54" i="116"/>
  <c r="N58" i="116"/>
  <c r="N62" i="116"/>
  <c r="N66" i="116"/>
  <c r="N70" i="116"/>
  <c r="N74" i="116"/>
  <c r="P8" i="117"/>
  <c r="P12" i="117"/>
  <c r="P16" i="117"/>
  <c r="P20" i="117"/>
  <c r="P24" i="117"/>
  <c r="P28" i="117"/>
  <c r="P32" i="117"/>
  <c r="P36" i="117"/>
  <c r="P40" i="117"/>
  <c r="P44" i="117"/>
  <c r="P48" i="117"/>
  <c r="P52" i="117"/>
  <c r="P56" i="117"/>
  <c r="P60" i="117"/>
  <c r="P64" i="117"/>
  <c r="P68" i="117"/>
  <c r="N14" i="118"/>
  <c r="N30" i="118"/>
  <c r="N46" i="118"/>
  <c r="N62" i="118"/>
  <c r="N8" i="119"/>
  <c r="N24" i="119"/>
  <c r="N40" i="119"/>
  <c r="N56" i="119"/>
  <c r="N72" i="119"/>
  <c r="N76" i="115"/>
  <c r="N68" i="115"/>
  <c r="N60" i="115"/>
  <c r="N52" i="115"/>
  <c r="N44" i="115"/>
  <c r="H10" i="5"/>
  <c r="E70" i="81"/>
  <c r="E73" i="81"/>
  <c r="C75" i="67"/>
  <c r="C74" i="67"/>
  <c r="C73" i="67"/>
  <c r="C72" i="67"/>
  <c r="C71" i="67"/>
  <c r="C70" i="67"/>
  <c r="C69" i="67"/>
  <c r="C68" i="67"/>
  <c r="C67" i="67"/>
  <c r="C66" i="67"/>
  <c r="C65" i="67"/>
  <c r="C64" i="67"/>
  <c r="C63" i="67"/>
  <c r="C62" i="67"/>
  <c r="C61" i="67"/>
  <c r="C60" i="67"/>
  <c r="C59" i="67"/>
  <c r="C58" i="67"/>
  <c r="C57" i="67"/>
  <c r="C56" i="67"/>
  <c r="C55" i="67"/>
  <c r="C54" i="67"/>
  <c r="C53" i="67"/>
  <c r="C52" i="67"/>
  <c r="C51" i="67"/>
  <c r="C50" i="67"/>
  <c r="C49" i="67"/>
  <c r="C48" i="67"/>
  <c r="C47" i="67"/>
  <c r="C46" i="67"/>
  <c r="C45" i="67"/>
  <c r="C44" i="67"/>
  <c r="C43" i="67"/>
  <c r="C42" i="67"/>
  <c r="C41" i="67"/>
  <c r="C40" i="67"/>
  <c r="C39" i="67"/>
  <c r="C38" i="67"/>
  <c r="C37" i="67"/>
  <c r="C36" i="67"/>
  <c r="C35" i="67"/>
  <c r="C34" i="67"/>
  <c r="C33" i="67"/>
  <c r="C32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C9" i="67"/>
  <c r="C8" i="67"/>
  <c r="C7" i="67"/>
  <c r="R75" i="119"/>
  <c r="R74" i="119"/>
  <c r="R73" i="119"/>
  <c r="R72" i="119"/>
  <c r="R71" i="119"/>
  <c r="R70" i="119"/>
  <c r="R69" i="119"/>
  <c r="R68" i="119"/>
  <c r="R67" i="119"/>
  <c r="R66" i="119"/>
  <c r="R65" i="119"/>
  <c r="R64" i="119"/>
  <c r="R63" i="119"/>
  <c r="R62" i="119"/>
  <c r="R61" i="119"/>
  <c r="R60" i="119"/>
  <c r="R59" i="119"/>
  <c r="R58" i="119"/>
  <c r="R57" i="119"/>
  <c r="R56" i="119"/>
  <c r="R55" i="119"/>
  <c r="R54" i="119"/>
  <c r="R53" i="119"/>
  <c r="R52" i="119"/>
  <c r="R51" i="119"/>
  <c r="R50" i="119"/>
  <c r="R49" i="119"/>
  <c r="R48" i="119"/>
  <c r="R47" i="119"/>
  <c r="R46" i="119"/>
  <c r="R45" i="119"/>
  <c r="R44" i="119"/>
  <c r="R43" i="119"/>
  <c r="R42" i="119"/>
  <c r="R41" i="119"/>
  <c r="R40" i="119"/>
  <c r="R39" i="119"/>
  <c r="R38" i="119"/>
  <c r="R37" i="119"/>
  <c r="R36" i="119"/>
  <c r="R35" i="119"/>
  <c r="R34" i="119"/>
  <c r="R33" i="119"/>
  <c r="R32" i="119"/>
  <c r="R31" i="119"/>
  <c r="R30" i="119"/>
  <c r="R29" i="119"/>
  <c r="R28" i="119"/>
  <c r="R27" i="119"/>
  <c r="R26" i="119"/>
  <c r="R25" i="119"/>
  <c r="R24" i="119"/>
  <c r="R23" i="119"/>
  <c r="R22" i="119"/>
  <c r="R21" i="119"/>
  <c r="R20" i="119"/>
  <c r="R19" i="119"/>
  <c r="R18" i="119"/>
  <c r="R17" i="119"/>
  <c r="R16" i="119"/>
  <c r="R15" i="119"/>
  <c r="R14" i="119"/>
  <c r="R13" i="119"/>
  <c r="R12" i="119"/>
  <c r="R11" i="119"/>
  <c r="R10" i="119"/>
  <c r="R9" i="119"/>
  <c r="R8" i="119"/>
  <c r="R7" i="119"/>
  <c r="K75" i="119"/>
  <c r="K74" i="119"/>
  <c r="K73" i="119"/>
  <c r="K72" i="119"/>
  <c r="K71" i="119"/>
  <c r="K70" i="119"/>
  <c r="K69" i="119"/>
  <c r="K68" i="119"/>
  <c r="K67" i="119"/>
  <c r="K66" i="119"/>
  <c r="K65" i="119"/>
  <c r="K64" i="119"/>
  <c r="K63" i="119"/>
  <c r="K62" i="119"/>
  <c r="K61" i="119"/>
  <c r="K60" i="119"/>
  <c r="K59" i="119"/>
  <c r="K58" i="119"/>
  <c r="K57" i="119"/>
  <c r="K56" i="119"/>
  <c r="K55" i="119"/>
  <c r="K54" i="119"/>
  <c r="K53" i="119"/>
  <c r="K52" i="119"/>
  <c r="K51" i="119"/>
  <c r="K50" i="119"/>
  <c r="K49" i="119"/>
  <c r="K48" i="119"/>
  <c r="K47" i="119"/>
  <c r="K46" i="119"/>
  <c r="K45" i="119"/>
  <c r="K44" i="119"/>
  <c r="K43" i="119"/>
  <c r="K42" i="119"/>
  <c r="K41" i="119"/>
  <c r="K40" i="119"/>
  <c r="K39" i="119"/>
  <c r="K38" i="119"/>
  <c r="K37" i="119"/>
  <c r="K36" i="119"/>
  <c r="K35" i="119"/>
  <c r="K34" i="119"/>
  <c r="K33" i="119"/>
  <c r="K32" i="119"/>
  <c r="K31" i="119"/>
  <c r="K30" i="119"/>
  <c r="K29" i="119"/>
  <c r="K28" i="119"/>
  <c r="K27" i="119"/>
  <c r="K26" i="119"/>
  <c r="K25" i="119"/>
  <c r="K24" i="119"/>
  <c r="K23" i="119"/>
  <c r="K22" i="119"/>
  <c r="K21" i="119"/>
  <c r="K20" i="119"/>
  <c r="K19" i="119"/>
  <c r="K18" i="119"/>
  <c r="K17" i="119"/>
  <c r="K16" i="119"/>
  <c r="K15" i="119"/>
  <c r="K14" i="119"/>
  <c r="K13" i="119"/>
  <c r="K12" i="119"/>
  <c r="K11" i="119"/>
  <c r="K10" i="119"/>
  <c r="K9" i="119"/>
  <c r="K8" i="119"/>
  <c r="K7" i="119"/>
  <c r="S72" i="80"/>
  <c r="S71" i="80"/>
  <c r="S70" i="80"/>
  <c r="S69" i="80"/>
  <c r="S68" i="80"/>
  <c r="S67" i="80"/>
  <c r="S66" i="80"/>
  <c r="S65" i="80"/>
  <c r="S64" i="80"/>
  <c r="S63" i="80"/>
  <c r="S62" i="80"/>
  <c r="S61" i="80"/>
  <c r="S60" i="80"/>
  <c r="S59" i="80"/>
  <c r="S58" i="80"/>
  <c r="S57" i="80"/>
  <c r="S56" i="80"/>
  <c r="S55" i="80"/>
  <c r="S54" i="80"/>
  <c r="S53" i="80"/>
  <c r="S52" i="80"/>
  <c r="S51" i="80"/>
  <c r="S50" i="80"/>
  <c r="S49" i="80"/>
  <c r="S48" i="80"/>
  <c r="S47" i="80"/>
  <c r="S46" i="80"/>
  <c r="S45" i="80"/>
  <c r="S44" i="80"/>
  <c r="S43" i="80"/>
  <c r="S42" i="80"/>
  <c r="S41" i="80"/>
  <c r="S40" i="80"/>
  <c r="S39" i="80"/>
  <c r="S38" i="80"/>
  <c r="S37" i="80"/>
  <c r="S36" i="80"/>
  <c r="S35" i="80"/>
  <c r="S34" i="80"/>
  <c r="S33" i="80"/>
  <c r="S32" i="80"/>
  <c r="S31" i="80"/>
  <c r="S30" i="80"/>
  <c r="S29" i="80"/>
  <c r="S28" i="80"/>
  <c r="S27" i="80"/>
  <c r="S26" i="80"/>
  <c r="S25" i="80"/>
  <c r="S24" i="80"/>
  <c r="S23" i="80"/>
  <c r="S22" i="80"/>
  <c r="S21" i="80"/>
  <c r="S20" i="80"/>
  <c r="S19" i="80"/>
  <c r="S18" i="80"/>
  <c r="S17" i="80"/>
  <c r="S16" i="80"/>
  <c r="S15" i="80"/>
  <c r="S14" i="80"/>
  <c r="S13" i="80"/>
  <c r="S12" i="80"/>
  <c r="S11" i="80"/>
  <c r="S10" i="80"/>
  <c r="S9" i="80"/>
  <c r="S8" i="80"/>
  <c r="S7" i="80"/>
  <c r="S6" i="80"/>
  <c r="S5" i="80"/>
  <c r="S4" i="80"/>
  <c r="L72" i="80"/>
  <c r="L71" i="80"/>
  <c r="L70" i="80"/>
  <c r="L69" i="80"/>
  <c r="L68" i="80"/>
  <c r="L67" i="80"/>
  <c r="L66" i="80"/>
  <c r="L65" i="80"/>
  <c r="L64" i="80"/>
  <c r="L63" i="80"/>
  <c r="L62" i="80"/>
  <c r="L61" i="80"/>
  <c r="L60" i="80"/>
  <c r="L59" i="80"/>
  <c r="L58" i="80"/>
  <c r="L57" i="80"/>
  <c r="L56" i="80"/>
  <c r="L55" i="80"/>
  <c r="L54" i="80"/>
  <c r="L53" i="80"/>
  <c r="L52" i="80"/>
  <c r="L51" i="80"/>
  <c r="L50" i="80"/>
  <c r="L49" i="80"/>
  <c r="L48" i="80"/>
  <c r="L47" i="80"/>
  <c r="L46" i="80"/>
  <c r="L45" i="80"/>
  <c r="L44" i="80"/>
  <c r="L43" i="80"/>
  <c r="L42" i="80"/>
  <c r="L41" i="80"/>
  <c r="L40" i="80"/>
  <c r="L39" i="80"/>
  <c r="L38" i="80"/>
  <c r="L37" i="80"/>
  <c r="L36" i="80"/>
  <c r="L35" i="80"/>
  <c r="L34" i="80"/>
  <c r="L33" i="80"/>
  <c r="L32" i="80"/>
  <c r="L31" i="80"/>
  <c r="L30" i="80"/>
  <c r="L29" i="80"/>
  <c r="L28" i="80"/>
  <c r="L27" i="80"/>
  <c r="L26" i="80"/>
  <c r="L25" i="80"/>
  <c r="L24" i="80"/>
  <c r="L23" i="80"/>
  <c r="L22" i="80"/>
  <c r="L21" i="80"/>
  <c r="L20" i="80"/>
  <c r="L19" i="80"/>
  <c r="L18" i="80"/>
  <c r="L17" i="80"/>
  <c r="L16" i="80"/>
  <c r="L15" i="80"/>
  <c r="L14" i="80"/>
  <c r="L13" i="80"/>
  <c r="L12" i="80"/>
  <c r="L11" i="80"/>
  <c r="L10" i="80"/>
  <c r="L9" i="80"/>
  <c r="L8" i="80"/>
  <c r="L7" i="80"/>
  <c r="L6" i="80"/>
  <c r="L5" i="80"/>
  <c r="L4" i="80"/>
  <c r="S72" i="76"/>
  <c r="S71" i="76"/>
  <c r="S70" i="76"/>
  <c r="S69" i="76"/>
  <c r="S68" i="76"/>
  <c r="S67" i="76"/>
  <c r="S66" i="76"/>
  <c r="S65" i="76"/>
  <c r="S64" i="76"/>
  <c r="S63" i="76"/>
  <c r="S62" i="76"/>
  <c r="S61" i="76"/>
  <c r="S60" i="76"/>
  <c r="S59" i="76"/>
  <c r="S58" i="76"/>
  <c r="S57" i="76"/>
  <c r="S56" i="76"/>
  <c r="S55" i="76"/>
  <c r="S54" i="76"/>
  <c r="S53" i="76"/>
  <c r="S52" i="76"/>
  <c r="S51" i="76"/>
  <c r="S50" i="76"/>
  <c r="S49" i="76"/>
  <c r="S48" i="76"/>
  <c r="S47" i="76"/>
  <c r="S46" i="76"/>
  <c r="S45" i="76"/>
  <c r="S44" i="76"/>
  <c r="S43" i="76"/>
  <c r="S42" i="76"/>
  <c r="S41" i="76"/>
  <c r="S40" i="76"/>
  <c r="S39" i="76"/>
  <c r="S38" i="76"/>
  <c r="S37" i="76"/>
  <c r="S36" i="76"/>
  <c r="S35" i="76"/>
  <c r="S34" i="76"/>
  <c r="S33" i="76"/>
  <c r="S32" i="76"/>
  <c r="S31" i="76"/>
  <c r="S30" i="76"/>
  <c r="S29" i="76"/>
  <c r="S28" i="76"/>
  <c r="S27" i="76"/>
  <c r="S26" i="76"/>
  <c r="S25" i="76"/>
  <c r="S24" i="76"/>
  <c r="S23" i="76"/>
  <c r="S22" i="76"/>
  <c r="S21" i="76"/>
  <c r="S20" i="76"/>
  <c r="S19" i="76"/>
  <c r="S18" i="76"/>
  <c r="S17" i="76"/>
  <c r="S16" i="76"/>
  <c r="S15" i="76"/>
  <c r="S14" i="76"/>
  <c r="S13" i="76"/>
  <c r="S12" i="76"/>
  <c r="S11" i="76"/>
  <c r="S10" i="76"/>
  <c r="S9" i="76"/>
  <c r="S8" i="76"/>
  <c r="S7" i="76"/>
  <c r="S6" i="76"/>
  <c r="S5" i="76"/>
  <c r="S4" i="76"/>
  <c r="L72" i="76"/>
  <c r="L71" i="76"/>
  <c r="L70" i="76"/>
  <c r="L69" i="76"/>
  <c r="L68" i="76"/>
  <c r="L67" i="76"/>
  <c r="L66" i="76"/>
  <c r="L65" i="76"/>
  <c r="L64" i="76"/>
  <c r="L63" i="76"/>
  <c r="L62" i="76"/>
  <c r="L61" i="76"/>
  <c r="L60" i="76"/>
  <c r="L59" i="76"/>
  <c r="L58" i="76"/>
  <c r="L57" i="76"/>
  <c r="L56" i="76"/>
  <c r="L55" i="76"/>
  <c r="L54" i="76"/>
  <c r="L53" i="76"/>
  <c r="L52" i="76"/>
  <c r="L51" i="76"/>
  <c r="L50" i="76"/>
  <c r="L49" i="76"/>
  <c r="L48" i="76"/>
  <c r="L47" i="76"/>
  <c r="L46" i="76"/>
  <c r="L45" i="76"/>
  <c r="L44" i="76"/>
  <c r="L43" i="76"/>
  <c r="L42" i="76"/>
  <c r="L41" i="76"/>
  <c r="L40" i="76"/>
  <c r="L39" i="76"/>
  <c r="L38" i="76"/>
  <c r="L37" i="76"/>
  <c r="L36" i="76"/>
  <c r="L35" i="76"/>
  <c r="L34" i="76"/>
  <c r="L33" i="76"/>
  <c r="L32" i="76"/>
  <c r="L31" i="76"/>
  <c r="L30" i="76"/>
  <c r="L29" i="76"/>
  <c r="L28" i="76"/>
  <c r="L27" i="76"/>
  <c r="L26" i="76"/>
  <c r="L25" i="76"/>
  <c r="L24" i="76"/>
  <c r="L23" i="76"/>
  <c r="L22" i="76"/>
  <c r="L21" i="76"/>
  <c r="L20" i="76"/>
  <c r="L19" i="76"/>
  <c r="L18" i="76"/>
  <c r="L17" i="76"/>
  <c r="L16" i="76"/>
  <c r="L15" i="76"/>
  <c r="L14" i="76"/>
  <c r="L13" i="76"/>
  <c r="L12" i="76"/>
  <c r="L11" i="76"/>
  <c r="L10" i="76"/>
  <c r="L9" i="76"/>
  <c r="L8" i="76"/>
  <c r="L7" i="76"/>
  <c r="L6" i="76"/>
  <c r="L5" i="76"/>
  <c r="L4" i="76"/>
  <c r="V35" i="46" l="1"/>
  <c r="V29" i="46"/>
  <c r="V28" i="46"/>
  <c r="V23" i="46"/>
  <c r="V17" i="46"/>
  <c r="V16" i="46"/>
  <c r="V15" i="46"/>
  <c r="V14" i="46"/>
  <c r="V13" i="46"/>
  <c r="V12" i="46"/>
  <c r="V11" i="46"/>
  <c r="V10" i="46"/>
  <c r="M35" i="46"/>
  <c r="M29" i="46"/>
  <c r="M28" i="46"/>
  <c r="M23" i="46"/>
  <c r="M17" i="46"/>
  <c r="M16" i="46"/>
  <c r="M15" i="46"/>
  <c r="M14" i="46"/>
  <c r="M13" i="46"/>
  <c r="M12" i="46"/>
  <c r="M11" i="46"/>
  <c r="M10" i="46"/>
  <c r="Q67" i="31" l="1"/>
  <c r="Q66" i="31"/>
  <c r="Q65" i="31"/>
  <c r="Q64" i="31"/>
  <c r="Q63" i="31"/>
  <c r="Q62" i="31"/>
  <c r="Q61" i="31"/>
  <c r="Q60" i="31"/>
  <c r="Q59" i="31"/>
  <c r="Q58" i="31"/>
  <c r="Q57" i="31"/>
  <c r="Q56" i="31"/>
  <c r="Q55" i="31"/>
  <c r="Q54" i="31"/>
  <c r="Q53" i="31"/>
  <c r="Q52" i="31"/>
  <c r="Q51" i="31"/>
  <c r="Q50" i="31"/>
  <c r="Q49" i="31"/>
  <c r="Q48" i="31"/>
  <c r="Q47" i="31"/>
  <c r="Q46" i="31"/>
  <c r="Q45" i="31"/>
  <c r="Q44" i="31"/>
  <c r="Q43" i="31"/>
  <c r="Q42" i="31"/>
  <c r="Q40" i="31"/>
  <c r="Q39" i="31"/>
  <c r="Q38" i="31"/>
  <c r="Q37" i="31"/>
  <c r="Q36" i="31"/>
  <c r="Q35" i="31"/>
  <c r="Q33" i="31"/>
  <c r="Q31" i="31"/>
  <c r="Q29" i="31"/>
  <c r="Q28" i="31"/>
  <c r="Q27" i="31"/>
  <c r="Q26" i="31"/>
  <c r="Q25" i="31"/>
  <c r="Q23" i="31"/>
  <c r="Q22" i="31"/>
  <c r="Q68" i="31"/>
  <c r="Q13" i="31"/>
  <c r="Q14" i="31"/>
  <c r="Q15" i="31"/>
  <c r="Q16" i="31"/>
  <c r="Q17" i="31"/>
  <c r="Q18" i="31"/>
  <c r="Q19" i="31"/>
  <c r="Q12" i="31"/>
  <c r="Q9" i="31"/>
  <c r="I47" i="31" l="1"/>
  <c r="I48" i="31"/>
  <c r="I49" i="31"/>
  <c r="I50" i="31"/>
  <c r="I51" i="31"/>
  <c r="I52" i="31"/>
  <c r="I53" i="31"/>
  <c r="I54" i="31"/>
  <c r="I55" i="31"/>
  <c r="I56" i="31"/>
  <c r="I57" i="31"/>
  <c r="I58" i="31"/>
  <c r="I59" i="31"/>
  <c r="I60" i="31"/>
  <c r="I61" i="31"/>
  <c r="I62" i="31"/>
  <c r="I63" i="31"/>
  <c r="I64" i="31"/>
  <c r="I65" i="31"/>
  <c r="I66" i="31"/>
  <c r="I67" i="31"/>
  <c r="I46" i="31"/>
  <c r="I42" i="31"/>
  <c r="I39" i="31"/>
  <c r="I40" i="31"/>
  <c r="I43" i="31"/>
  <c r="I44" i="31"/>
  <c r="I38" i="31"/>
  <c r="I35" i="31"/>
  <c r="I34" i="31"/>
  <c r="I33" i="31"/>
  <c r="I31" i="31"/>
  <c r="I22" i="31"/>
  <c r="I23" i="31"/>
  <c r="I25" i="31"/>
  <c r="I26" i="31"/>
  <c r="I27" i="31"/>
  <c r="I28" i="31"/>
  <c r="I29" i="31"/>
  <c r="I21" i="31"/>
  <c r="I13" i="31"/>
  <c r="I14" i="31"/>
  <c r="I15" i="31"/>
  <c r="I16" i="31"/>
  <c r="I17" i="31"/>
  <c r="I18" i="31"/>
  <c r="I19" i="31"/>
  <c r="I12" i="31"/>
  <c r="I9" i="31"/>
  <c r="K14" i="137"/>
  <c r="H9" i="5"/>
  <c r="E75" i="33"/>
  <c r="E74" i="33"/>
  <c r="E73" i="33"/>
  <c r="E72" i="33"/>
  <c r="E71" i="33"/>
  <c r="E70" i="33"/>
  <c r="E69" i="33"/>
  <c r="E68" i="33"/>
  <c r="E67" i="33"/>
  <c r="E66" i="33"/>
  <c r="E65" i="33"/>
  <c r="E64" i="33"/>
  <c r="E63" i="33"/>
  <c r="E62" i="33"/>
  <c r="E61" i="33"/>
  <c r="E60" i="33"/>
  <c r="E59" i="33"/>
  <c r="E58" i="33"/>
  <c r="E57" i="33"/>
  <c r="E56" i="33"/>
  <c r="E55" i="33"/>
  <c r="E54" i="33"/>
  <c r="E53" i="33"/>
  <c r="E52" i="33"/>
  <c r="E51" i="33"/>
  <c r="E50" i="33"/>
  <c r="E49" i="33"/>
  <c r="E48" i="33"/>
  <c r="E47" i="33"/>
  <c r="E46" i="33"/>
  <c r="E45" i="33"/>
  <c r="E44" i="33"/>
  <c r="E43" i="33"/>
  <c r="E42" i="33"/>
  <c r="E41" i="33"/>
  <c r="E40" i="33"/>
  <c r="E39" i="33"/>
  <c r="E38" i="33"/>
  <c r="E37" i="33"/>
  <c r="E36" i="33"/>
  <c r="E35" i="33"/>
  <c r="E34" i="33"/>
  <c r="E33" i="33"/>
  <c r="E32" i="33"/>
  <c r="E31" i="33"/>
  <c r="E30" i="33"/>
  <c r="E29" i="33"/>
  <c r="E28" i="33"/>
  <c r="E27" i="33"/>
  <c r="E26" i="33"/>
  <c r="E25" i="33"/>
  <c r="E24" i="33"/>
  <c r="E23" i="33"/>
  <c r="E22" i="33"/>
  <c r="E21" i="33"/>
  <c r="E20" i="33"/>
  <c r="E19" i="33"/>
  <c r="E18" i="33"/>
  <c r="E17" i="33"/>
  <c r="E16" i="33"/>
  <c r="E15" i="33"/>
  <c r="E14" i="33"/>
  <c r="E13" i="33"/>
  <c r="E12" i="33"/>
  <c r="E11" i="33"/>
  <c r="E10" i="33"/>
  <c r="E9" i="33"/>
  <c r="E8" i="33"/>
  <c r="E7" i="33"/>
  <c r="C9" i="31" l="1"/>
  <c r="C19" i="131" l="1"/>
  <c r="C21" i="131"/>
  <c r="C74" i="129"/>
  <c r="C23" i="129"/>
  <c r="C9" i="125"/>
  <c r="C38" i="125"/>
  <c r="C23" i="125"/>
  <c r="U78" i="136" l="1"/>
  <c r="AF79" i="136" s="1"/>
  <c r="AF80" i="136" s="1"/>
  <c r="V78" i="136"/>
  <c r="W78" i="136"/>
  <c r="X78" i="136"/>
  <c r="Y78" i="136"/>
  <c r="Z78" i="136"/>
  <c r="AA78" i="136"/>
  <c r="AB78" i="136"/>
  <c r="AC78" i="136"/>
  <c r="AD78" i="136"/>
  <c r="AE78" i="136"/>
  <c r="S79" i="136"/>
  <c r="AF8" i="136"/>
  <c r="AF9" i="136"/>
  <c r="AF10" i="136"/>
  <c r="AF11" i="136"/>
  <c r="AF12" i="136"/>
  <c r="AF13" i="136"/>
  <c r="AF14" i="136"/>
  <c r="AF15" i="136"/>
  <c r="AF16" i="136"/>
  <c r="AF17" i="136"/>
  <c r="AF18" i="136"/>
  <c r="AF19" i="136"/>
  <c r="AF20" i="136"/>
  <c r="AF21" i="136"/>
  <c r="AF22" i="136"/>
  <c r="AF23" i="136"/>
  <c r="AF24" i="136"/>
  <c r="AF25" i="136"/>
  <c r="AF26" i="136"/>
  <c r="AF27" i="136"/>
  <c r="AF28" i="136"/>
  <c r="AF29" i="136"/>
  <c r="AF30" i="136"/>
  <c r="AF31" i="136"/>
  <c r="AF32" i="136"/>
  <c r="AF33" i="136"/>
  <c r="AF34" i="136"/>
  <c r="AF35" i="136"/>
  <c r="AF36" i="136"/>
  <c r="AF37" i="136"/>
  <c r="AF38" i="136"/>
  <c r="AF39" i="136"/>
  <c r="AF40" i="136"/>
  <c r="AF41" i="136"/>
  <c r="AF42" i="136"/>
  <c r="AF43" i="136"/>
  <c r="AF44" i="136"/>
  <c r="AF45" i="136"/>
  <c r="AF46" i="136"/>
  <c r="AF47" i="136"/>
  <c r="AF48" i="136"/>
  <c r="AF49" i="136"/>
  <c r="AF50" i="136"/>
  <c r="AF51" i="136"/>
  <c r="AF52" i="136"/>
  <c r="AF53" i="136"/>
  <c r="AF54" i="136"/>
  <c r="AF55" i="136"/>
  <c r="AF56" i="136"/>
  <c r="AF57" i="136"/>
  <c r="AF58" i="136"/>
  <c r="AF59" i="136"/>
  <c r="AF60" i="136"/>
  <c r="AF61" i="136"/>
  <c r="AF62" i="136"/>
  <c r="AF63" i="136"/>
  <c r="AF64" i="136"/>
  <c r="AF65" i="136"/>
  <c r="AF66" i="136"/>
  <c r="AF67" i="136"/>
  <c r="AF68" i="136"/>
  <c r="AF69" i="136"/>
  <c r="AF70" i="136"/>
  <c r="AF71" i="136"/>
  <c r="AF72" i="136"/>
  <c r="AF73" i="136"/>
  <c r="AF74" i="136"/>
  <c r="AF75" i="136"/>
  <c r="AF76" i="136"/>
  <c r="AF7" i="136"/>
  <c r="Q7" i="136" l="1"/>
  <c r="Q8" i="136"/>
  <c r="Q9" i="136"/>
  <c r="Q10" i="136"/>
  <c r="Q11" i="136"/>
  <c r="Q12" i="136"/>
  <c r="Q13" i="136"/>
  <c r="Q14" i="136"/>
  <c r="Q15" i="136"/>
  <c r="Q16" i="136"/>
  <c r="Q17" i="136"/>
  <c r="Q18" i="136"/>
  <c r="Q19" i="136"/>
  <c r="Q20" i="136"/>
  <c r="Q21" i="136"/>
  <c r="Q22" i="136"/>
  <c r="Q23" i="136"/>
  <c r="Q24" i="136"/>
  <c r="Q25" i="136"/>
  <c r="Q26" i="136"/>
  <c r="Q27" i="136"/>
  <c r="Q28" i="136"/>
  <c r="Q29" i="136"/>
  <c r="Q30" i="136"/>
  <c r="Q31" i="136"/>
  <c r="Q32" i="136"/>
  <c r="Q33" i="136"/>
  <c r="Q34" i="136"/>
  <c r="Q35" i="136"/>
  <c r="Q36" i="136"/>
  <c r="Q37" i="136"/>
  <c r="Q38" i="136"/>
  <c r="Q39" i="136"/>
  <c r="Q40" i="136"/>
  <c r="Q41" i="136"/>
  <c r="Q42" i="136"/>
  <c r="Q43" i="136"/>
  <c r="Q44" i="136"/>
  <c r="Q45" i="136"/>
  <c r="Q46" i="136"/>
  <c r="Q47" i="136"/>
  <c r="Q48" i="136"/>
  <c r="Q49" i="136"/>
  <c r="Q50" i="136"/>
  <c r="Q51" i="136"/>
  <c r="Q52" i="136"/>
  <c r="Q53" i="136"/>
  <c r="Q54" i="136"/>
  <c r="Q55" i="136"/>
  <c r="Q56" i="136"/>
  <c r="Q57" i="136"/>
  <c r="Q58" i="136"/>
  <c r="Q59" i="136"/>
  <c r="Q60" i="136"/>
  <c r="Q61" i="136"/>
  <c r="Q62" i="136"/>
  <c r="Q63" i="136"/>
  <c r="Q64" i="136"/>
  <c r="Q65" i="136"/>
  <c r="Q66" i="136"/>
  <c r="Q67" i="136"/>
  <c r="Q68" i="136"/>
  <c r="Q69" i="136"/>
  <c r="Q70" i="136"/>
  <c r="Q71" i="136"/>
  <c r="Q72" i="136"/>
  <c r="Q73" i="136"/>
  <c r="Q74" i="136"/>
  <c r="Q75" i="136"/>
  <c r="Q76" i="136"/>
  <c r="Q78" i="136"/>
  <c r="E6" i="136" l="1"/>
  <c r="F6" i="136" s="1"/>
  <c r="G6" i="136" l="1"/>
  <c r="H6" i="136" s="1"/>
  <c r="I6" i="136" s="1"/>
  <c r="J6" i="136" s="1"/>
  <c r="K6" i="136" s="1"/>
  <c r="L6" i="136" s="1"/>
  <c r="M6" i="136" s="1"/>
  <c r="N6" i="136" s="1"/>
  <c r="O6" i="136" s="1"/>
  <c r="P6" i="136" s="1"/>
  <c r="K34" i="2"/>
  <c r="K15" i="2"/>
  <c r="H53" i="1"/>
  <c r="H46" i="1"/>
  <c r="H24" i="1"/>
  <c r="S6" i="136" l="1"/>
  <c r="T6" i="136" s="1"/>
  <c r="U6" i="136" s="1"/>
  <c r="V6" i="136" s="1"/>
  <c r="W6" i="136" s="1"/>
  <c r="Q6" i="136"/>
  <c r="R6" i="136" s="1"/>
  <c r="N42" i="117"/>
  <c r="N76" i="117"/>
  <c r="X6" i="136" l="1"/>
  <c r="L12" i="137"/>
  <c r="Y6" i="136" l="1"/>
  <c r="Z6" i="136" l="1"/>
  <c r="D48" i="81"/>
  <c r="D39" i="81"/>
  <c r="G18" i="81"/>
  <c r="E18" i="81"/>
  <c r="AA6" i="136" l="1"/>
  <c r="AF77" i="13"/>
  <c r="C72" i="80"/>
  <c r="C71" i="80"/>
  <c r="C70" i="80"/>
  <c r="C69" i="80"/>
  <c r="C68" i="80"/>
  <c r="C67" i="80"/>
  <c r="C66" i="80"/>
  <c r="C65" i="80"/>
  <c r="C64" i="80"/>
  <c r="C63" i="80"/>
  <c r="C62" i="80"/>
  <c r="C61" i="80"/>
  <c r="C60" i="80"/>
  <c r="C59" i="80"/>
  <c r="C58" i="80"/>
  <c r="C57" i="80"/>
  <c r="C56" i="80"/>
  <c r="C55" i="80"/>
  <c r="C54" i="80"/>
  <c r="C53" i="80"/>
  <c r="C52" i="80"/>
  <c r="C51" i="80"/>
  <c r="C50" i="80"/>
  <c r="C49" i="80"/>
  <c r="C48" i="80"/>
  <c r="C47" i="80"/>
  <c r="C46" i="80"/>
  <c r="C45" i="80"/>
  <c r="C44" i="80"/>
  <c r="C43" i="80"/>
  <c r="C42" i="80"/>
  <c r="C41" i="80"/>
  <c r="C40" i="80"/>
  <c r="C39" i="80"/>
  <c r="C38" i="80"/>
  <c r="C37" i="80"/>
  <c r="C36" i="80"/>
  <c r="C35" i="80"/>
  <c r="C34" i="80"/>
  <c r="C33" i="80"/>
  <c r="C32" i="80"/>
  <c r="C31" i="80"/>
  <c r="C30" i="80"/>
  <c r="C29" i="80"/>
  <c r="C28" i="80"/>
  <c r="C27" i="80"/>
  <c r="C26" i="80"/>
  <c r="C25" i="80"/>
  <c r="C24" i="80"/>
  <c r="C23" i="80"/>
  <c r="C22" i="80"/>
  <c r="C21" i="80"/>
  <c r="C20" i="80"/>
  <c r="C19" i="80"/>
  <c r="C18" i="80"/>
  <c r="C17" i="80"/>
  <c r="C16" i="80"/>
  <c r="C15" i="80"/>
  <c r="C14" i="80"/>
  <c r="C13" i="80"/>
  <c r="C12" i="80"/>
  <c r="C11" i="80"/>
  <c r="C10" i="80"/>
  <c r="C9" i="80"/>
  <c r="C8" i="80"/>
  <c r="C7" i="80"/>
  <c r="C6" i="80"/>
  <c r="C5" i="80"/>
  <c r="C4" i="80"/>
  <c r="C72" i="76"/>
  <c r="C71" i="76"/>
  <c r="C70" i="76"/>
  <c r="C69" i="76"/>
  <c r="C68" i="76"/>
  <c r="C67" i="76"/>
  <c r="C66" i="76"/>
  <c r="C65" i="76"/>
  <c r="C64" i="76"/>
  <c r="C63" i="76"/>
  <c r="C62" i="76"/>
  <c r="C61" i="76"/>
  <c r="C60" i="76"/>
  <c r="C59" i="76"/>
  <c r="C58" i="76"/>
  <c r="C57" i="76"/>
  <c r="C56" i="76"/>
  <c r="C55" i="76"/>
  <c r="C54" i="76"/>
  <c r="C53" i="76"/>
  <c r="C52" i="76"/>
  <c r="C51" i="76"/>
  <c r="C50" i="76"/>
  <c r="C49" i="76"/>
  <c r="C48" i="76"/>
  <c r="C47" i="76"/>
  <c r="C46" i="76"/>
  <c r="C45" i="76"/>
  <c r="C44" i="76"/>
  <c r="C43" i="76"/>
  <c r="C42" i="76"/>
  <c r="C41" i="76"/>
  <c r="C40" i="76"/>
  <c r="C39" i="76"/>
  <c r="C38" i="76"/>
  <c r="C37" i="76"/>
  <c r="C36" i="76"/>
  <c r="C35" i="76"/>
  <c r="C34" i="76"/>
  <c r="C33" i="76"/>
  <c r="C32" i="76"/>
  <c r="C31" i="76"/>
  <c r="C30" i="76"/>
  <c r="C29" i="76"/>
  <c r="C28" i="76"/>
  <c r="C27" i="76"/>
  <c r="C26" i="76"/>
  <c r="C25" i="76"/>
  <c r="C24" i="76"/>
  <c r="C23" i="76"/>
  <c r="C22" i="76"/>
  <c r="C21" i="76"/>
  <c r="C20" i="76"/>
  <c r="C19" i="76"/>
  <c r="C18" i="76"/>
  <c r="C17" i="76"/>
  <c r="C16" i="76"/>
  <c r="C15" i="76"/>
  <c r="C14" i="76"/>
  <c r="C13" i="76"/>
  <c r="C12" i="76"/>
  <c r="C11" i="76"/>
  <c r="C10" i="76"/>
  <c r="C9" i="76"/>
  <c r="C8" i="76"/>
  <c r="C7" i="76"/>
  <c r="C6" i="76"/>
  <c r="C5" i="76"/>
  <c r="C4" i="76"/>
  <c r="C75" i="120"/>
  <c r="C74" i="120"/>
  <c r="C73" i="120"/>
  <c r="C72" i="120"/>
  <c r="C71" i="120"/>
  <c r="C70" i="120"/>
  <c r="C69" i="120"/>
  <c r="C68" i="120"/>
  <c r="C67" i="120"/>
  <c r="C66" i="120"/>
  <c r="C65" i="120"/>
  <c r="C64" i="120"/>
  <c r="C63" i="120"/>
  <c r="C62" i="120"/>
  <c r="C61" i="120"/>
  <c r="C60" i="120"/>
  <c r="C59" i="120"/>
  <c r="C58" i="120"/>
  <c r="C57" i="120"/>
  <c r="C56" i="120"/>
  <c r="C55" i="120"/>
  <c r="C54" i="120"/>
  <c r="C53" i="120"/>
  <c r="C52" i="120"/>
  <c r="C51" i="120"/>
  <c r="C50" i="120"/>
  <c r="C49" i="120"/>
  <c r="C48" i="120"/>
  <c r="C47" i="120"/>
  <c r="C46" i="120"/>
  <c r="C45" i="120"/>
  <c r="C44" i="120"/>
  <c r="C43" i="120"/>
  <c r="C42" i="120"/>
  <c r="C41" i="120"/>
  <c r="C40" i="120"/>
  <c r="C39" i="120"/>
  <c r="C38" i="120"/>
  <c r="C37" i="120"/>
  <c r="C36" i="120"/>
  <c r="C35" i="120"/>
  <c r="C34" i="120"/>
  <c r="C33" i="120"/>
  <c r="C32" i="120"/>
  <c r="C31" i="120"/>
  <c r="C30" i="120"/>
  <c r="C29" i="120"/>
  <c r="C28" i="120"/>
  <c r="C27" i="120"/>
  <c r="C26" i="120"/>
  <c r="C25" i="120"/>
  <c r="C24" i="120"/>
  <c r="C23" i="120"/>
  <c r="C22" i="120"/>
  <c r="C21" i="120"/>
  <c r="C20" i="120"/>
  <c r="C19" i="120"/>
  <c r="C18" i="120"/>
  <c r="C17" i="120"/>
  <c r="C16" i="120"/>
  <c r="C15" i="120"/>
  <c r="C14" i="120"/>
  <c r="C13" i="120"/>
  <c r="C12" i="120"/>
  <c r="C11" i="120"/>
  <c r="C10" i="120"/>
  <c r="C9" i="120"/>
  <c r="C8" i="120"/>
  <c r="C7" i="120"/>
  <c r="C75" i="119"/>
  <c r="C74" i="119"/>
  <c r="C73" i="119"/>
  <c r="C72" i="119"/>
  <c r="C71" i="119"/>
  <c r="C70" i="119"/>
  <c r="C69" i="119"/>
  <c r="C68" i="119"/>
  <c r="C67" i="119"/>
  <c r="C66" i="119"/>
  <c r="C65" i="119"/>
  <c r="C64" i="119"/>
  <c r="C63" i="119"/>
  <c r="C62" i="119"/>
  <c r="C61" i="119"/>
  <c r="C60" i="119"/>
  <c r="C59" i="119"/>
  <c r="C58" i="119"/>
  <c r="C57" i="119"/>
  <c r="C56" i="119"/>
  <c r="C55" i="119"/>
  <c r="C54" i="119"/>
  <c r="C53" i="119"/>
  <c r="C52" i="119"/>
  <c r="C51" i="119"/>
  <c r="C50" i="119"/>
  <c r="C49" i="119"/>
  <c r="C48" i="119"/>
  <c r="C47" i="119"/>
  <c r="C46" i="119"/>
  <c r="C45" i="119"/>
  <c r="C44" i="119"/>
  <c r="C43" i="119"/>
  <c r="C42" i="119"/>
  <c r="C41" i="119"/>
  <c r="C40" i="119"/>
  <c r="C39" i="119"/>
  <c r="C38" i="119"/>
  <c r="C37" i="119"/>
  <c r="C36" i="119"/>
  <c r="C35" i="119"/>
  <c r="C34" i="119"/>
  <c r="C33" i="119"/>
  <c r="C32" i="119"/>
  <c r="C31" i="119"/>
  <c r="C30" i="119"/>
  <c r="C29" i="119"/>
  <c r="C28" i="119"/>
  <c r="C27" i="119"/>
  <c r="C26" i="119"/>
  <c r="C25" i="119"/>
  <c r="C24" i="119"/>
  <c r="C23" i="119"/>
  <c r="C22" i="119"/>
  <c r="C21" i="119"/>
  <c r="C20" i="119"/>
  <c r="C19" i="119"/>
  <c r="C18" i="119"/>
  <c r="C17" i="119"/>
  <c r="C16" i="119"/>
  <c r="C15" i="119"/>
  <c r="C14" i="119"/>
  <c r="C13" i="119"/>
  <c r="C12" i="119"/>
  <c r="C11" i="119"/>
  <c r="C10" i="119"/>
  <c r="C9" i="119"/>
  <c r="C8" i="119"/>
  <c r="C7" i="119"/>
  <c r="C75" i="118"/>
  <c r="C74" i="118"/>
  <c r="C73" i="118"/>
  <c r="C72" i="118"/>
  <c r="C71" i="118"/>
  <c r="C70" i="118"/>
  <c r="C69" i="118"/>
  <c r="C68" i="118"/>
  <c r="C67" i="118"/>
  <c r="C66" i="118"/>
  <c r="C65" i="118"/>
  <c r="C64" i="118"/>
  <c r="C63" i="118"/>
  <c r="C62" i="118"/>
  <c r="C61" i="118"/>
  <c r="C60" i="118"/>
  <c r="C59" i="118"/>
  <c r="C58" i="118"/>
  <c r="C57" i="118"/>
  <c r="C56" i="118"/>
  <c r="C55" i="118"/>
  <c r="C54" i="118"/>
  <c r="C53" i="118"/>
  <c r="C52" i="118"/>
  <c r="C51" i="118"/>
  <c r="C50" i="118"/>
  <c r="C49" i="118"/>
  <c r="C48" i="118"/>
  <c r="C47" i="118"/>
  <c r="C46" i="118"/>
  <c r="C45" i="118"/>
  <c r="C44" i="118"/>
  <c r="C43" i="118"/>
  <c r="C42" i="118"/>
  <c r="C41" i="118"/>
  <c r="C40" i="118"/>
  <c r="C39" i="118"/>
  <c r="C38" i="118"/>
  <c r="C37" i="118"/>
  <c r="C36" i="118"/>
  <c r="C35" i="118"/>
  <c r="C34" i="118"/>
  <c r="C33" i="118"/>
  <c r="C32" i="118"/>
  <c r="C31" i="118"/>
  <c r="C30" i="118"/>
  <c r="C29" i="118"/>
  <c r="C28" i="118"/>
  <c r="C27" i="118"/>
  <c r="C26" i="118"/>
  <c r="C25" i="118"/>
  <c r="C24" i="118"/>
  <c r="C23" i="118"/>
  <c r="C22" i="118"/>
  <c r="C21" i="118"/>
  <c r="C20" i="118"/>
  <c r="C19" i="118"/>
  <c r="C18" i="118"/>
  <c r="C17" i="118"/>
  <c r="C16" i="118"/>
  <c r="C15" i="118"/>
  <c r="C14" i="118"/>
  <c r="C13" i="118"/>
  <c r="C12" i="118"/>
  <c r="C11" i="118"/>
  <c r="C10" i="118"/>
  <c r="C9" i="118"/>
  <c r="C8" i="118"/>
  <c r="C7" i="118"/>
  <c r="C75" i="117"/>
  <c r="C74" i="117"/>
  <c r="C73" i="117"/>
  <c r="C72" i="117"/>
  <c r="C71" i="117"/>
  <c r="C70" i="117"/>
  <c r="C69" i="117"/>
  <c r="C68" i="117"/>
  <c r="C67" i="117"/>
  <c r="C66" i="117"/>
  <c r="C65" i="117"/>
  <c r="C64" i="117"/>
  <c r="C63" i="117"/>
  <c r="C62" i="117"/>
  <c r="C61" i="117"/>
  <c r="C60" i="117"/>
  <c r="C59" i="117"/>
  <c r="C58" i="117"/>
  <c r="C57" i="117"/>
  <c r="C56" i="117"/>
  <c r="C55" i="117"/>
  <c r="C54" i="117"/>
  <c r="C53" i="117"/>
  <c r="C52" i="117"/>
  <c r="C51" i="117"/>
  <c r="C50" i="117"/>
  <c r="C49" i="117"/>
  <c r="C48" i="117"/>
  <c r="C47" i="117"/>
  <c r="C46" i="117"/>
  <c r="C45" i="117"/>
  <c r="C44" i="117"/>
  <c r="C43" i="117"/>
  <c r="C42" i="117"/>
  <c r="C41" i="117"/>
  <c r="C40" i="117"/>
  <c r="C39" i="117"/>
  <c r="C38" i="117"/>
  <c r="C37" i="117"/>
  <c r="C36" i="117"/>
  <c r="C35" i="117"/>
  <c r="C34" i="117"/>
  <c r="C33" i="117"/>
  <c r="C32" i="117"/>
  <c r="C31" i="117"/>
  <c r="C30" i="117"/>
  <c r="C29" i="117"/>
  <c r="C28" i="117"/>
  <c r="C27" i="117"/>
  <c r="C26" i="117"/>
  <c r="C25" i="117"/>
  <c r="C24" i="117"/>
  <c r="C23" i="117"/>
  <c r="C22" i="117"/>
  <c r="C21" i="117"/>
  <c r="C20" i="117"/>
  <c r="C19" i="117"/>
  <c r="C18" i="117"/>
  <c r="C17" i="117"/>
  <c r="C16" i="117"/>
  <c r="C15" i="117"/>
  <c r="C14" i="117"/>
  <c r="C13" i="117"/>
  <c r="C12" i="117"/>
  <c r="C11" i="117"/>
  <c r="C10" i="117"/>
  <c r="C9" i="117"/>
  <c r="C8" i="117"/>
  <c r="C7" i="117"/>
  <c r="C75" i="116"/>
  <c r="C74" i="116"/>
  <c r="C73" i="116"/>
  <c r="C72" i="116"/>
  <c r="C71" i="116"/>
  <c r="C70" i="116"/>
  <c r="C69" i="116"/>
  <c r="C68" i="116"/>
  <c r="C67" i="116"/>
  <c r="C66" i="116"/>
  <c r="C65" i="116"/>
  <c r="C64" i="116"/>
  <c r="C63" i="116"/>
  <c r="C62" i="116"/>
  <c r="C61" i="116"/>
  <c r="C60" i="116"/>
  <c r="C59" i="116"/>
  <c r="C58" i="116"/>
  <c r="C57" i="116"/>
  <c r="C56" i="116"/>
  <c r="C55" i="116"/>
  <c r="C54" i="116"/>
  <c r="C53" i="116"/>
  <c r="C52" i="116"/>
  <c r="C51" i="116"/>
  <c r="C50" i="116"/>
  <c r="C49" i="116"/>
  <c r="C48" i="116"/>
  <c r="C47" i="116"/>
  <c r="C46" i="116"/>
  <c r="C45" i="116"/>
  <c r="C44" i="116"/>
  <c r="C43" i="116"/>
  <c r="C42" i="116"/>
  <c r="C41" i="116"/>
  <c r="C40" i="116"/>
  <c r="C39" i="116"/>
  <c r="C38" i="116"/>
  <c r="C37" i="116"/>
  <c r="C36" i="116"/>
  <c r="C35" i="116"/>
  <c r="C34" i="116"/>
  <c r="C33" i="116"/>
  <c r="C32" i="116"/>
  <c r="C31" i="116"/>
  <c r="C30" i="116"/>
  <c r="C29" i="116"/>
  <c r="C28" i="116"/>
  <c r="C27" i="116"/>
  <c r="C26" i="116"/>
  <c r="C25" i="116"/>
  <c r="C24" i="116"/>
  <c r="C23" i="116"/>
  <c r="C22" i="116"/>
  <c r="C21" i="116"/>
  <c r="C20" i="116"/>
  <c r="C19" i="116"/>
  <c r="C18" i="116"/>
  <c r="C17" i="116"/>
  <c r="C16" i="116"/>
  <c r="C15" i="116"/>
  <c r="C14" i="116"/>
  <c r="C13" i="116"/>
  <c r="C12" i="116"/>
  <c r="C11" i="116"/>
  <c r="C10" i="116"/>
  <c r="C9" i="116"/>
  <c r="C8" i="116"/>
  <c r="C7" i="116"/>
  <c r="C75" i="115"/>
  <c r="C74" i="115"/>
  <c r="C73" i="115"/>
  <c r="C72" i="115"/>
  <c r="C71" i="115"/>
  <c r="C70" i="115"/>
  <c r="C69" i="115"/>
  <c r="C68" i="115"/>
  <c r="C67" i="115"/>
  <c r="C66" i="115"/>
  <c r="C65" i="115"/>
  <c r="C64" i="115"/>
  <c r="C63" i="115"/>
  <c r="C62" i="115"/>
  <c r="C61" i="115"/>
  <c r="C60" i="115"/>
  <c r="C59" i="115"/>
  <c r="C58" i="115"/>
  <c r="C57" i="115"/>
  <c r="C56" i="115"/>
  <c r="C55" i="115"/>
  <c r="C54" i="115"/>
  <c r="C53" i="115"/>
  <c r="C52" i="115"/>
  <c r="C51" i="115"/>
  <c r="C50" i="115"/>
  <c r="C49" i="115"/>
  <c r="C48" i="115"/>
  <c r="C47" i="115"/>
  <c r="C46" i="115"/>
  <c r="C45" i="115"/>
  <c r="C44" i="115"/>
  <c r="C43" i="115"/>
  <c r="C42" i="115"/>
  <c r="C41" i="115"/>
  <c r="C40" i="115"/>
  <c r="C39" i="115"/>
  <c r="C38" i="115"/>
  <c r="C37" i="115"/>
  <c r="C36" i="115"/>
  <c r="C35" i="115"/>
  <c r="C34" i="115"/>
  <c r="C33" i="115"/>
  <c r="C32" i="115"/>
  <c r="C31" i="115"/>
  <c r="C30" i="115"/>
  <c r="C29" i="115"/>
  <c r="C28" i="115"/>
  <c r="C27" i="115"/>
  <c r="C26" i="115"/>
  <c r="C25" i="115"/>
  <c r="C24" i="115"/>
  <c r="C23" i="115"/>
  <c r="C22" i="115"/>
  <c r="C21" i="115"/>
  <c r="C20" i="115"/>
  <c r="C19" i="115"/>
  <c r="C18" i="115"/>
  <c r="C17" i="115"/>
  <c r="C16" i="115"/>
  <c r="C15" i="115"/>
  <c r="C14" i="115"/>
  <c r="C13" i="115"/>
  <c r="C12" i="115"/>
  <c r="C11" i="115"/>
  <c r="C10" i="115"/>
  <c r="C9" i="115"/>
  <c r="C8" i="115"/>
  <c r="C7" i="115"/>
  <c r="C76" i="114"/>
  <c r="C75" i="114"/>
  <c r="C74" i="114"/>
  <c r="C73" i="114"/>
  <c r="C72" i="114"/>
  <c r="C71" i="114"/>
  <c r="C70" i="114"/>
  <c r="C69" i="114"/>
  <c r="C68" i="114"/>
  <c r="C67" i="114"/>
  <c r="C66" i="114"/>
  <c r="C65" i="114"/>
  <c r="C64" i="114"/>
  <c r="C63" i="114"/>
  <c r="C62" i="114"/>
  <c r="C61" i="114"/>
  <c r="C60" i="114"/>
  <c r="C59" i="114"/>
  <c r="C58" i="114"/>
  <c r="C57" i="114"/>
  <c r="C56" i="114"/>
  <c r="C55" i="114"/>
  <c r="C54" i="114"/>
  <c r="C53" i="114"/>
  <c r="C52" i="114"/>
  <c r="C51" i="114"/>
  <c r="C50" i="114"/>
  <c r="C49" i="114"/>
  <c r="C48" i="114"/>
  <c r="C47" i="114"/>
  <c r="C46" i="114"/>
  <c r="C45" i="114"/>
  <c r="C44" i="114"/>
  <c r="C43" i="114"/>
  <c r="C42" i="114"/>
  <c r="C41" i="114"/>
  <c r="C40" i="114"/>
  <c r="C39" i="114"/>
  <c r="C38" i="114"/>
  <c r="C37" i="114"/>
  <c r="C36" i="114"/>
  <c r="C35" i="114"/>
  <c r="C34" i="114"/>
  <c r="C33" i="114"/>
  <c r="C32" i="114"/>
  <c r="C31" i="114"/>
  <c r="C30" i="114"/>
  <c r="C29" i="114"/>
  <c r="C28" i="114"/>
  <c r="C27" i="114"/>
  <c r="C26" i="114"/>
  <c r="C25" i="114"/>
  <c r="C24" i="114"/>
  <c r="C23" i="114"/>
  <c r="C22" i="114"/>
  <c r="C21" i="114"/>
  <c r="C20" i="114"/>
  <c r="C19" i="114"/>
  <c r="C18" i="114"/>
  <c r="C17" i="114"/>
  <c r="C16" i="114"/>
  <c r="C15" i="114"/>
  <c r="C14" i="114"/>
  <c r="C13" i="114"/>
  <c r="C12" i="114"/>
  <c r="C11" i="114"/>
  <c r="C10" i="114"/>
  <c r="C9" i="114"/>
  <c r="C8" i="114"/>
  <c r="C7" i="114"/>
  <c r="C75" i="113"/>
  <c r="C74" i="113"/>
  <c r="C73" i="113"/>
  <c r="C72" i="113"/>
  <c r="C71" i="113"/>
  <c r="C70" i="113"/>
  <c r="C69" i="113"/>
  <c r="C68" i="113"/>
  <c r="C67" i="113"/>
  <c r="C66" i="113"/>
  <c r="C65" i="113"/>
  <c r="C64" i="113"/>
  <c r="C63" i="113"/>
  <c r="C62" i="113"/>
  <c r="C61" i="113"/>
  <c r="C60" i="113"/>
  <c r="C59" i="113"/>
  <c r="C58" i="113"/>
  <c r="C57" i="113"/>
  <c r="C56" i="113"/>
  <c r="C55" i="113"/>
  <c r="C54" i="113"/>
  <c r="C53" i="113"/>
  <c r="C52" i="113"/>
  <c r="C51" i="113"/>
  <c r="C50" i="113"/>
  <c r="C49" i="113"/>
  <c r="C48" i="113"/>
  <c r="C47" i="113"/>
  <c r="C46" i="113"/>
  <c r="C45" i="113"/>
  <c r="C44" i="113"/>
  <c r="C43" i="113"/>
  <c r="C42" i="113"/>
  <c r="C41" i="113"/>
  <c r="C40" i="113"/>
  <c r="C39" i="113"/>
  <c r="C38" i="113"/>
  <c r="C37" i="113"/>
  <c r="C36" i="113"/>
  <c r="C35" i="113"/>
  <c r="C34" i="113"/>
  <c r="C33" i="113"/>
  <c r="C32" i="113"/>
  <c r="C31" i="113"/>
  <c r="C30" i="113"/>
  <c r="C29" i="113"/>
  <c r="C28" i="113"/>
  <c r="C27" i="113"/>
  <c r="C26" i="113"/>
  <c r="C25" i="113"/>
  <c r="C24" i="113"/>
  <c r="C23" i="113"/>
  <c r="C22" i="113"/>
  <c r="C21" i="113"/>
  <c r="C20" i="113"/>
  <c r="C19" i="113"/>
  <c r="C18" i="113"/>
  <c r="C17" i="113"/>
  <c r="C16" i="113"/>
  <c r="C15" i="113"/>
  <c r="C14" i="113"/>
  <c r="C13" i="113"/>
  <c r="C12" i="113"/>
  <c r="C11" i="113"/>
  <c r="C10" i="113"/>
  <c r="C9" i="113"/>
  <c r="C8" i="113"/>
  <c r="C7" i="113"/>
  <c r="W5" i="100"/>
  <c r="X5" i="100" s="1"/>
  <c r="D5" i="100"/>
  <c r="W75" i="33"/>
  <c r="W74" i="33"/>
  <c r="W73" i="33"/>
  <c r="W72" i="33"/>
  <c r="W71" i="33"/>
  <c r="W70" i="33"/>
  <c r="W69" i="33"/>
  <c r="W68" i="33"/>
  <c r="W67" i="33"/>
  <c r="W66" i="33"/>
  <c r="W65" i="33"/>
  <c r="W64" i="33"/>
  <c r="W63" i="33"/>
  <c r="W62" i="33"/>
  <c r="W61" i="33"/>
  <c r="W60" i="33"/>
  <c r="W59" i="33"/>
  <c r="W58" i="33"/>
  <c r="W57" i="33"/>
  <c r="W56" i="33"/>
  <c r="W55" i="33"/>
  <c r="W54" i="33"/>
  <c r="W53" i="33"/>
  <c r="W52" i="33"/>
  <c r="W51" i="33"/>
  <c r="W50" i="33"/>
  <c r="W49" i="33"/>
  <c r="W48" i="33"/>
  <c r="W47" i="33"/>
  <c r="W46" i="33"/>
  <c r="W45" i="33"/>
  <c r="W44" i="33"/>
  <c r="W43" i="33"/>
  <c r="W42" i="33"/>
  <c r="W41" i="33"/>
  <c r="W40" i="33"/>
  <c r="W39" i="33"/>
  <c r="W38" i="33"/>
  <c r="W37" i="33"/>
  <c r="W36" i="33"/>
  <c r="W35" i="33"/>
  <c r="W34" i="33"/>
  <c r="W33" i="33"/>
  <c r="W32" i="33"/>
  <c r="W31" i="33"/>
  <c r="W30" i="33"/>
  <c r="W29" i="33"/>
  <c r="W28" i="33"/>
  <c r="W27" i="33"/>
  <c r="W26" i="33"/>
  <c r="W25" i="33"/>
  <c r="W24" i="33"/>
  <c r="W23" i="33"/>
  <c r="W22" i="33"/>
  <c r="W21" i="33"/>
  <c r="W20" i="33"/>
  <c r="W19" i="33"/>
  <c r="W18" i="33"/>
  <c r="W17" i="33"/>
  <c r="W16" i="33"/>
  <c r="W15" i="33"/>
  <c r="W14" i="33"/>
  <c r="W13" i="33"/>
  <c r="W12" i="33"/>
  <c r="W11" i="33"/>
  <c r="W10" i="33"/>
  <c r="W9" i="33"/>
  <c r="W8" i="33"/>
  <c r="W7" i="33"/>
  <c r="E63" i="81"/>
  <c r="E76" i="138"/>
  <c r="C76" i="138"/>
  <c r="C77" i="138" s="1"/>
  <c r="G75" i="138"/>
  <c r="F75" i="138"/>
  <c r="D75" i="138"/>
  <c r="D76" i="138" s="1"/>
  <c r="G74" i="138"/>
  <c r="G76" i="138" s="1"/>
  <c r="F74" i="138"/>
  <c r="F76" i="138" s="1"/>
  <c r="F77" i="138" s="1"/>
  <c r="D74" i="138"/>
  <c r="E73" i="138"/>
  <c r="E77" i="138" s="1"/>
  <c r="C73" i="138"/>
  <c r="G72" i="138"/>
  <c r="F72" i="138"/>
  <c r="D72" i="138"/>
  <c r="F71" i="138"/>
  <c r="D71" i="138"/>
  <c r="G71" i="138" s="1"/>
  <c r="F70" i="138"/>
  <c r="D70" i="138"/>
  <c r="G70" i="138" s="1"/>
  <c r="G69" i="138"/>
  <c r="F69" i="138"/>
  <c r="D69" i="138"/>
  <c r="G68" i="138"/>
  <c r="F68" i="138"/>
  <c r="D68" i="138"/>
  <c r="F67" i="138"/>
  <c r="D67" i="138"/>
  <c r="G67" i="138" s="1"/>
  <c r="F66" i="138"/>
  <c r="D66" i="138"/>
  <c r="G66" i="138" s="1"/>
  <c r="G65" i="138"/>
  <c r="F65" i="138"/>
  <c r="D65" i="138"/>
  <c r="G64" i="138"/>
  <c r="F64" i="138"/>
  <c r="D64" i="138"/>
  <c r="F63" i="138"/>
  <c r="D63" i="138"/>
  <c r="G63" i="138" s="1"/>
  <c r="F62" i="138"/>
  <c r="D62" i="138"/>
  <c r="G62" i="138" s="1"/>
  <c r="G61" i="138"/>
  <c r="F61" i="138"/>
  <c r="D61" i="138"/>
  <c r="G60" i="138"/>
  <c r="F60" i="138"/>
  <c r="D60" i="138"/>
  <c r="F59" i="138"/>
  <c r="D59" i="138"/>
  <c r="G59" i="138" s="1"/>
  <c r="F58" i="138"/>
  <c r="D58" i="138"/>
  <c r="G58" i="138" s="1"/>
  <c r="G57" i="138"/>
  <c r="F57" i="138"/>
  <c r="D57" i="138"/>
  <c r="G56" i="138"/>
  <c r="F56" i="138"/>
  <c r="D56" i="138"/>
  <c r="F55" i="138"/>
  <c r="D55" i="138"/>
  <c r="G55" i="138" s="1"/>
  <c r="F54" i="138"/>
  <c r="D54" i="138"/>
  <c r="G54" i="138" s="1"/>
  <c r="G53" i="138"/>
  <c r="F53" i="138"/>
  <c r="D53" i="138"/>
  <c r="G52" i="138"/>
  <c r="F52" i="138"/>
  <c r="D52" i="138"/>
  <c r="F51" i="138"/>
  <c r="D51" i="138"/>
  <c r="G51" i="138" s="1"/>
  <c r="F50" i="138"/>
  <c r="D50" i="138"/>
  <c r="G50" i="138" s="1"/>
  <c r="G49" i="138"/>
  <c r="F49" i="138"/>
  <c r="D49" i="138"/>
  <c r="G48" i="138"/>
  <c r="F48" i="138"/>
  <c r="D48" i="138"/>
  <c r="F47" i="138"/>
  <c r="D47" i="138"/>
  <c r="G47" i="138" s="1"/>
  <c r="F46" i="138"/>
  <c r="D46" i="138"/>
  <c r="G46" i="138" s="1"/>
  <c r="G45" i="138"/>
  <c r="F45" i="138"/>
  <c r="D45" i="138"/>
  <c r="G44" i="138"/>
  <c r="F44" i="138"/>
  <c r="D44" i="138"/>
  <c r="F43" i="138"/>
  <c r="D43" i="138"/>
  <c r="G43" i="138" s="1"/>
  <c r="F42" i="138"/>
  <c r="D42" i="138"/>
  <c r="G42" i="138" s="1"/>
  <c r="G41" i="138"/>
  <c r="F41" i="138"/>
  <c r="D41" i="138"/>
  <c r="G40" i="138"/>
  <c r="F40" i="138"/>
  <c r="D40" i="138"/>
  <c r="F39" i="138"/>
  <c r="D39" i="138"/>
  <c r="G39" i="138" s="1"/>
  <c r="F38" i="138"/>
  <c r="D38" i="138"/>
  <c r="G38" i="138" s="1"/>
  <c r="G37" i="138"/>
  <c r="F37" i="138"/>
  <c r="D37" i="138"/>
  <c r="G36" i="138"/>
  <c r="F36" i="138"/>
  <c r="D36" i="138"/>
  <c r="F35" i="138"/>
  <c r="D35" i="138"/>
  <c r="G35" i="138" s="1"/>
  <c r="F34" i="138"/>
  <c r="D34" i="138"/>
  <c r="G34" i="138" s="1"/>
  <c r="G33" i="138"/>
  <c r="F33" i="138"/>
  <c r="D33" i="138"/>
  <c r="G32" i="138"/>
  <c r="F32" i="138"/>
  <c r="D32" i="138"/>
  <c r="F31" i="138"/>
  <c r="D31" i="138"/>
  <c r="G31" i="138" s="1"/>
  <c r="F30" i="138"/>
  <c r="D30" i="138"/>
  <c r="G30" i="138" s="1"/>
  <c r="G29" i="138"/>
  <c r="F29" i="138"/>
  <c r="D29" i="138"/>
  <c r="G28" i="138"/>
  <c r="F28" i="138"/>
  <c r="D28" i="138"/>
  <c r="F27" i="138"/>
  <c r="D27" i="138"/>
  <c r="G27" i="138" s="1"/>
  <c r="F26" i="138"/>
  <c r="D26" i="138"/>
  <c r="G26" i="138" s="1"/>
  <c r="G25" i="138"/>
  <c r="F25" i="138"/>
  <c r="D25" i="138"/>
  <c r="G24" i="138"/>
  <c r="F24" i="138"/>
  <c r="D24" i="138"/>
  <c r="F23" i="138"/>
  <c r="D23" i="138"/>
  <c r="G23" i="138" s="1"/>
  <c r="F22" i="138"/>
  <c r="D22" i="138"/>
  <c r="G22" i="138" s="1"/>
  <c r="G21" i="138"/>
  <c r="F21" i="138"/>
  <c r="D21" i="138"/>
  <c r="G20" i="138"/>
  <c r="F20" i="138"/>
  <c r="D20" i="138"/>
  <c r="F19" i="138"/>
  <c r="D19" i="138"/>
  <c r="G19" i="138" s="1"/>
  <c r="F18" i="138"/>
  <c r="D18" i="138"/>
  <c r="G18" i="138" s="1"/>
  <c r="G17" i="138"/>
  <c r="F17" i="138"/>
  <c r="D17" i="138"/>
  <c r="G16" i="138"/>
  <c r="F16" i="138"/>
  <c r="D16" i="138"/>
  <c r="F15" i="138"/>
  <c r="D15" i="138"/>
  <c r="G15" i="138" s="1"/>
  <c r="F14" i="138"/>
  <c r="D14" i="138"/>
  <c r="G14" i="138" s="1"/>
  <c r="G13" i="138"/>
  <c r="F13" i="138"/>
  <c r="D13" i="138"/>
  <c r="G12" i="138"/>
  <c r="F12" i="138"/>
  <c r="D12" i="138"/>
  <c r="F11" i="138"/>
  <c r="D11" i="138"/>
  <c r="G11" i="138" s="1"/>
  <c r="F10" i="138"/>
  <c r="D10" i="138"/>
  <c r="G10" i="138" s="1"/>
  <c r="G9" i="138"/>
  <c r="F9" i="138"/>
  <c r="D9" i="138"/>
  <c r="G8" i="138"/>
  <c r="F8" i="138"/>
  <c r="D8" i="138"/>
  <c r="F7" i="138"/>
  <c r="D7" i="138"/>
  <c r="G7" i="138" s="1"/>
  <c r="F6" i="138"/>
  <c r="D6" i="138"/>
  <c r="G6" i="138" s="1"/>
  <c r="G5" i="138"/>
  <c r="F5" i="138"/>
  <c r="D5" i="138"/>
  <c r="G4" i="138"/>
  <c r="F4" i="138"/>
  <c r="F73" i="138" s="1"/>
  <c r="D4" i="138"/>
  <c r="D73" i="138" s="1"/>
  <c r="C3" i="138"/>
  <c r="D3" i="138" s="1"/>
  <c r="E3" i="138" s="1"/>
  <c r="F3" i="138" s="1"/>
  <c r="G3" i="138" s="1"/>
  <c r="AB6" i="136" l="1"/>
  <c r="G73" i="138"/>
  <c r="G77" i="138" s="1"/>
  <c r="D77" i="138"/>
  <c r="AC6" i="136" l="1"/>
  <c r="X6" i="33"/>
  <c r="AD6" i="136" l="1"/>
  <c r="J7" i="5"/>
  <c r="H21" i="5"/>
  <c r="B21" i="5"/>
  <c r="C18" i="5"/>
  <c r="D18" i="5" s="1"/>
  <c r="E18" i="5" s="1"/>
  <c r="F18" i="5" s="1"/>
  <c r="G18" i="5" s="1"/>
  <c r="H18" i="5" s="1"/>
  <c r="I18" i="5" s="1"/>
  <c r="J18" i="5" s="1"/>
  <c r="AE6" i="136" l="1"/>
  <c r="L18" i="137"/>
  <c r="L22" i="137" s="1"/>
  <c r="K18" i="137"/>
  <c r="K22" i="137" s="1"/>
  <c r="C18" i="137"/>
  <c r="C22" i="137" s="1"/>
  <c r="G17" i="137"/>
  <c r="G16" i="137"/>
  <c r="G15" i="137"/>
  <c r="G14" i="137"/>
  <c r="G13" i="137"/>
  <c r="G12" i="137"/>
  <c r="G11" i="137"/>
  <c r="G10" i="137"/>
  <c r="D9" i="137"/>
  <c r="E9" i="137" s="1"/>
  <c r="F9" i="137" s="1"/>
  <c r="G9" i="137" s="1"/>
  <c r="H9" i="137" s="1"/>
  <c r="I9" i="137" s="1"/>
  <c r="J9" i="137" s="1"/>
  <c r="K9" i="137" s="1"/>
  <c r="L9" i="137" s="1"/>
  <c r="M9" i="137" s="1"/>
  <c r="N9" i="137" s="1"/>
  <c r="AF6" i="136" l="1"/>
  <c r="G18" i="137"/>
  <c r="G22" i="137" s="1"/>
  <c r="H6" i="25" l="1"/>
  <c r="E6" i="25"/>
  <c r="K41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34" i="2"/>
  <c r="K14" i="2"/>
  <c r="K75" i="2" s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L75" i="2" l="1"/>
  <c r="E41" i="81" s="1"/>
  <c r="G41" i="81" s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2" i="1"/>
  <c r="H51" i="1"/>
  <c r="H50" i="1"/>
  <c r="H49" i="1"/>
  <c r="H48" i="1"/>
  <c r="H47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J76" i="1" l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D76" i="1" l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 l="1"/>
  <c r="R75" i="136" l="1"/>
  <c r="R74" i="136"/>
  <c r="R73" i="136"/>
  <c r="R72" i="136"/>
  <c r="R71" i="136"/>
  <c r="R70" i="136"/>
  <c r="R69" i="136"/>
  <c r="R68" i="136"/>
  <c r="R67" i="136"/>
  <c r="R66" i="136"/>
  <c r="R65" i="136"/>
  <c r="R64" i="136"/>
  <c r="R63" i="136"/>
  <c r="R62" i="136"/>
  <c r="R61" i="136"/>
  <c r="R60" i="136"/>
  <c r="R59" i="136"/>
  <c r="R58" i="136"/>
  <c r="R57" i="136"/>
  <c r="R56" i="136"/>
  <c r="R55" i="136"/>
  <c r="R54" i="136"/>
  <c r="R53" i="136"/>
  <c r="R52" i="136"/>
  <c r="C33" i="46" s="1"/>
  <c r="R51" i="136"/>
  <c r="R50" i="136"/>
  <c r="R49" i="136"/>
  <c r="R48" i="136"/>
  <c r="R47" i="136"/>
  <c r="R46" i="136"/>
  <c r="R45" i="136"/>
  <c r="R44" i="136"/>
  <c r="R43" i="136"/>
  <c r="R42" i="136"/>
  <c r="C7" i="31" s="1"/>
  <c r="R41" i="136"/>
  <c r="R40" i="136"/>
  <c r="R39" i="136"/>
  <c r="R38" i="136"/>
  <c r="R37" i="136"/>
  <c r="R36" i="136"/>
  <c r="R35" i="136"/>
  <c r="R34" i="136"/>
  <c r="R33" i="136"/>
  <c r="R32" i="136"/>
  <c r="R31" i="136"/>
  <c r="R30" i="136"/>
  <c r="R29" i="136"/>
  <c r="R28" i="136"/>
  <c r="R27" i="136"/>
  <c r="R26" i="136"/>
  <c r="R25" i="136"/>
  <c r="R24" i="136"/>
  <c r="R23" i="136"/>
  <c r="R22" i="136"/>
  <c r="R21" i="136"/>
  <c r="R20" i="136"/>
  <c r="R19" i="136"/>
  <c r="R18" i="136"/>
  <c r="R17" i="136"/>
  <c r="R16" i="136"/>
  <c r="R15" i="136"/>
  <c r="R14" i="136"/>
  <c r="R13" i="136"/>
  <c r="R12" i="136"/>
  <c r="R11" i="136"/>
  <c r="R10" i="136"/>
  <c r="R9" i="136"/>
  <c r="R8" i="136"/>
  <c r="R7" i="136"/>
  <c r="S74" i="136" l="1"/>
  <c r="S22" i="136"/>
  <c r="Q21" i="2" s="1"/>
  <c r="C26" i="46"/>
  <c r="G26" i="46" s="1"/>
  <c r="C7" i="46"/>
  <c r="G7" i="46" s="1"/>
  <c r="C21" i="46"/>
  <c r="C78" i="136"/>
  <c r="D78" i="136"/>
  <c r="E78" i="136"/>
  <c r="F78" i="136"/>
  <c r="G78" i="136"/>
  <c r="H78" i="136"/>
  <c r="I78" i="136"/>
  <c r="J78" i="136"/>
  <c r="K78" i="136"/>
  <c r="L78" i="136"/>
  <c r="M78" i="136"/>
  <c r="N78" i="136"/>
  <c r="O78" i="136"/>
  <c r="P78" i="136"/>
  <c r="T78" i="136"/>
  <c r="R78" i="136"/>
  <c r="I73" i="1"/>
  <c r="I69" i="1"/>
  <c r="I65" i="1"/>
  <c r="I61" i="1"/>
  <c r="I57" i="1"/>
  <c r="I53" i="1"/>
  <c r="I49" i="1"/>
  <c r="I46" i="1"/>
  <c r="I45" i="1"/>
  <c r="I41" i="1"/>
  <c r="I37" i="1"/>
  <c r="I33" i="1"/>
  <c r="I29" i="1"/>
  <c r="I26" i="1"/>
  <c r="I25" i="1"/>
  <c r="I21" i="1"/>
  <c r="I17" i="1"/>
  <c r="I13" i="1"/>
  <c r="I9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I76" i="1"/>
  <c r="I75" i="1"/>
  <c r="I74" i="1"/>
  <c r="I72" i="1"/>
  <c r="I71" i="1"/>
  <c r="I70" i="1"/>
  <c r="I68" i="1"/>
  <c r="I67" i="1"/>
  <c r="I66" i="1"/>
  <c r="I64" i="1"/>
  <c r="I63" i="1"/>
  <c r="I62" i="1"/>
  <c r="I60" i="1"/>
  <c r="I59" i="1"/>
  <c r="I58" i="1"/>
  <c r="I56" i="1"/>
  <c r="I55" i="1"/>
  <c r="I54" i="1"/>
  <c r="I52" i="1"/>
  <c r="I51" i="1"/>
  <c r="I50" i="1"/>
  <c r="I48" i="1"/>
  <c r="I47" i="1"/>
  <c r="I44" i="1"/>
  <c r="I43" i="1"/>
  <c r="I42" i="1"/>
  <c r="I40" i="1"/>
  <c r="I39" i="1"/>
  <c r="I38" i="1"/>
  <c r="I36" i="1"/>
  <c r="I35" i="1"/>
  <c r="I34" i="1"/>
  <c r="I32" i="1"/>
  <c r="I31" i="1"/>
  <c r="I30" i="1"/>
  <c r="I28" i="1"/>
  <c r="I27" i="1"/>
  <c r="I24" i="1"/>
  <c r="I23" i="1"/>
  <c r="I22" i="1"/>
  <c r="I20" i="1"/>
  <c r="I19" i="1"/>
  <c r="I18" i="1"/>
  <c r="I16" i="1"/>
  <c r="I15" i="1"/>
  <c r="I14" i="1"/>
  <c r="I12" i="1"/>
  <c r="I11" i="1"/>
  <c r="I10" i="1"/>
  <c r="J77" i="1"/>
  <c r="I8" i="1"/>
  <c r="H77" i="1"/>
  <c r="P69" i="80"/>
  <c r="P65" i="80"/>
  <c r="Q65" i="80" s="1"/>
  <c r="AR67" i="72" s="1"/>
  <c r="P63" i="80"/>
  <c r="U65" i="100" s="1"/>
  <c r="P61" i="80"/>
  <c r="P59" i="80"/>
  <c r="P57" i="80"/>
  <c r="U59" i="100" s="1"/>
  <c r="P55" i="80"/>
  <c r="Q55" i="80" s="1"/>
  <c r="AR57" i="72" s="1"/>
  <c r="P53" i="80"/>
  <c r="Q53" i="80" s="1"/>
  <c r="AR55" i="72" s="1"/>
  <c r="P51" i="80"/>
  <c r="Q51" i="80" s="1"/>
  <c r="AR53" i="72" s="1"/>
  <c r="P49" i="80"/>
  <c r="U51" i="100" s="1"/>
  <c r="P47" i="80"/>
  <c r="P45" i="80"/>
  <c r="U47" i="100" s="1"/>
  <c r="P43" i="80"/>
  <c r="U45" i="100" s="1"/>
  <c r="P41" i="80"/>
  <c r="Q41" i="80" s="1"/>
  <c r="P39" i="80"/>
  <c r="U41" i="100" s="1"/>
  <c r="P37" i="80"/>
  <c r="Q37" i="80" s="1"/>
  <c r="P35" i="80"/>
  <c r="U37" i="100" s="1"/>
  <c r="P31" i="80"/>
  <c r="P29" i="80"/>
  <c r="U31" i="100" s="1"/>
  <c r="P25" i="80"/>
  <c r="P23" i="80"/>
  <c r="P21" i="80"/>
  <c r="U23" i="100" s="1"/>
  <c r="P19" i="80"/>
  <c r="P17" i="80"/>
  <c r="P15" i="80"/>
  <c r="P13" i="80"/>
  <c r="P11" i="80"/>
  <c r="U13" i="100" s="1"/>
  <c r="P9" i="80"/>
  <c r="Q9" i="80" s="1"/>
  <c r="P7" i="80"/>
  <c r="U9" i="100" s="1"/>
  <c r="P71" i="76"/>
  <c r="T73" i="100" s="1"/>
  <c r="P67" i="76"/>
  <c r="P65" i="76"/>
  <c r="P63" i="76"/>
  <c r="T65" i="100" s="1"/>
  <c r="P61" i="76"/>
  <c r="Q61" i="76" s="1"/>
  <c r="P59" i="76"/>
  <c r="P57" i="76"/>
  <c r="P55" i="76"/>
  <c r="T57" i="100" s="1"/>
  <c r="P53" i="76"/>
  <c r="P51" i="76"/>
  <c r="Q51" i="76" s="1"/>
  <c r="R51" i="76" s="1"/>
  <c r="T51" i="76" s="1"/>
  <c r="U51" i="76" s="1"/>
  <c r="U53" i="72" s="1"/>
  <c r="P49" i="76"/>
  <c r="P47" i="76"/>
  <c r="P45" i="76"/>
  <c r="Q45" i="76" s="1"/>
  <c r="AQ47" i="72" s="1"/>
  <c r="P43" i="76"/>
  <c r="P37" i="76"/>
  <c r="Q37" i="76" s="1"/>
  <c r="AQ39" i="72" s="1"/>
  <c r="P35" i="76"/>
  <c r="P33" i="76"/>
  <c r="P31" i="76"/>
  <c r="T33" i="100" s="1"/>
  <c r="P27" i="76"/>
  <c r="T29" i="100" s="1"/>
  <c r="P25" i="76"/>
  <c r="P23" i="76"/>
  <c r="Q23" i="76" s="1"/>
  <c r="AQ25" i="72" s="1"/>
  <c r="P21" i="76"/>
  <c r="P19" i="76"/>
  <c r="T21" i="100" s="1"/>
  <c r="P17" i="76"/>
  <c r="P15" i="76"/>
  <c r="P11" i="76"/>
  <c r="P9" i="76"/>
  <c r="P7" i="76"/>
  <c r="P5" i="76"/>
  <c r="P4" i="76"/>
  <c r="Q4" i="76" s="1"/>
  <c r="R4" i="76" s="1"/>
  <c r="O74" i="126"/>
  <c r="O72" i="126"/>
  <c r="O70" i="126"/>
  <c r="P70" i="126" s="1"/>
  <c r="AL69" i="72" s="1"/>
  <c r="O68" i="126"/>
  <c r="O66" i="126"/>
  <c r="O64" i="126"/>
  <c r="O63" i="126"/>
  <c r="P63" i="126" s="1"/>
  <c r="O62" i="126"/>
  <c r="O60" i="126"/>
  <c r="O58" i="126"/>
  <c r="O56" i="126"/>
  <c r="O54" i="126"/>
  <c r="O53" i="100" s="1"/>
  <c r="O52" i="126"/>
  <c r="O51" i="126"/>
  <c r="O50" i="100" s="1"/>
  <c r="O50" i="126"/>
  <c r="O49" i="100" s="1"/>
  <c r="O48" i="126"/>
  <c r="O46" i="126"/>
  <c r="O44" i="126"/>
  <c r="O42" i="126"/>
  <c r="O41" i="100" s="1"/>
  <c r="O40" i="126"/>
  <c r="O38" i="126"/>
  <c r="O37" i="100" s="1"/>
  <c r="O36" i="126"/>
  <c r="O34" i="126"/>
  <c r="O33" i="100" s="1"/>
  <c r="O32" i="126"/>
  <c r="O30" i="126"/>
  <c r="O28" i="126"/>
  <c r="O24" i="126"/>
  <c r="O22" i="126"/>
  <c r="O20" i="126"/>
  <c r="O18" i="126"/>
  <c r="O17" i="100" s="1"/>
  <c r="O16" i="126"/>
  <c r="O14" i="126"/>
  <c r="O12" i="126"/>
  <c r="O10" i="126"/>
  <c r="O8" i="126"/>
  <c r="O74" i="127"/>
  <c r="P73" i="100" s="1"/>
  <c r="O72" i="127"/>
  <c r="O70" i="127"/>
  <c r="P69" i="100" s="1"/>
  <c r="O68" i="127"/>
  <c r="O67" i="127"/>
  <c r="P67" i="127" s="1"/>
  <c r="O64" i="127"/>
  <c r="O63" i="127"/>
  <c r="P62" i="100" s="1"/>
  <c r="O60" i="127"/>
  <c r="O59" i="127"/>
  <c r="P59" i="127" s="1"/>
  <c r="AM58" i="72" s="1"/>
  <c r="O58" i="127"/>
  <c r="P57" i="100" s="1"/>
  <c r="O56" i="127"/>
  <c r="O55" i="127"/>
  <c r="P54" i="100" s="1"/>
  <c r="O52" i="127"/>
  <c r="O51" i="127"/>
  <c r="P50" i="100" s="1"/>
  <c r="O50" i="127"/>
  <c r="O48" i="127"/>
  <c r="O46" i="127"/>
  <c r="P45" i="100" s="1"/>
  <c r="O44" i="127"/>
  <c r="O42" i="127"/>
  <c r="P42" i="127" s="1"/>
  <c r="AM41" i="72" s="1"/>
  <c r="O40" i="127"/>
  <c r="O38" i="127"/>
  <c r="P37" i="100" s="1"/>
  <c r="O36" i="127"/>
  <c r="O34" i="127"/>
  <c r="P33" i="100" s="1"/>
  <c r="O32" i="127"/>
  <c r="O30" i="127"/>
  <c r="P29" i="100" s="1"/>
  <c r="O28" i="127"/>
  <c r="O26" i="127"/>
  <c r="P25" i="100" s="1"/>
  <c r="O24" i="127"/>
  <c r="P23" i="100" s="1"/>
  <c r="O23" i="127"/>
  <c r="P22" i="100" s="1"/>
  <c r="O22" i="127"/>
  <c r="O20" i="127"/>
  <c r="O18" i="127"/>
  <c r="O16" i="127"/>
  <c r="O14" i="127"/>
  <c r="P13" i="100" s="1"/>
  <c r="O12" i="127"/>
  <c r="O10" i="127"/>
  <c r="P9" i="100" s="1"/>
  <c r="O8" i="127"/>
  <c r="O75" i="128"/>
  <c r="Q74" i="100" s="1"/>
  <c r="O74" i="128"/>
  <c r="O72" i="128"/>
  <c r="O71" i="128"/>
  <c r="Q70" i="100" s="1"/>
  <c r="O68" i="128"/>
  <c r="O66" i="128"/>
  <c r="P66" i="128" s="1"/>
  <c r="O64" i="128"/>
  <c r="O63" i="128"/>
  <c r="P63" i="128" s="1"/>
  <c r="AN62" i="72" s="1"/>
  <c r="O60" i="128"/>
  <c r="O58" i="128"/>
  <c r="P58" i="128" s="1"/>
  <c r="AN57" i="72" s="1"/>
  <c r="O56" i="128"/>
  <c r="O55" i="128"/>
  <c r="P55" i="128" s="1"/>
  <c r="AN54" i="72" s="1"/>
  <c r="O52" i="128"/>
  <c r="O50" i="128"/>
  <c r="P50" i="128" s="1"/>
  <c r="AN49" i="72" s="1"/>
  <c r="O48" i="128"/>
  <c r="O47" i="128"/>
  <c r="P47" i="128" s="1"/>
  <c r="Q47" i="128" s="1"/>
  <c r="S47" i="128" s="1"/>
  <c r="T47" i="128" s="1"/>
  <c r="R46" i="72" s="1"/>
  <c r="O46" i="128"/>
  <c r="P46" i="128" s="1"/>
  <c r="AN45" i="72" s="1"/>
  <c r="O44" i="128"/>
  <c r="O43" i="128"/>
  <c r="P43" i="128" s="1"/>
  <c r="O42" i="128"/>
  <c r="P42" i="128" s="1"/>
  <c r="O40" i="128"/>
  <c r="O39" i="128"/>
  <c r="Q38" i="100" s="1"/>
  <c r="O38" i="128"/>
  <c r="O36" i="128"/>
  <c r="O35" i="128"/>
  <c r="Q34" i="100" s="1"/>
  <c r="O32" i="128"/>
  <c r="O31" i="128"/>
  <c r="P31" i="128" s="1"/>
  <c r="O30" i="128"/>
  <c r="O28" i="128"/>
  <c r="O27" i="128"/>
  <c r="P27" i="128" s="1"/>
  <c r="Q27" i="128" s="1"/>
  <c r="S27" i="128" s="1"/>
  <c r="T27" i="128" s="1"/>
  <c r="R26" i="72" s="1"/>
  <c r="O26" i="128"/>
  <c r="O24" i="128"/>
  <c r="O22" i="128"/>
  <c r="Q21" i="100" s="1"/>
  <c r="O20" i="128"/>
  <c r="O18" i="128"/>
  <c r="P18" i="128" s="1"/>
  <c r="AN17" i="72" s="1"/>
  <c r="O16" i="128"/>
  <c r="O15" i="128"/>
  <c r="Q14" i="100" s="1"/>
  <c r="O14" i="128"/>
  <c r="O12" i="128"/>
  <c r="O11" i="128"/>
  <c r="Q10" i="100" s="1"/>
  <c r="O8" i="128"/>
  <c r="O74" i="129"/>
  <c r="O72" i="129"/>
  <c r="O71" i="129"/>
  <c r="R70" i="100" s="1"/>
  <c r="O70" i="129"/>
  <c r="R69" i="100" s="1"/>
  <c r="O68" i="129"/>
  <c r="O66" i="129"/>
  <c r="R65" i="100" s="1"/>
  <c r="O64" i="129"/>
  <c r="P64" i="129" s="1"/>
  <c r="AO63" i="72" s="1"/>
  <c r="O62" i="129"/>
  <c r="R61" i="100" s="1"/>
  <c r="O60" i="129"/>
  <c r="O58" i="129"/>
  <c r="O56" i="129"/>
  <c r="O54" i="129"/>
  <c r="P54" i="129" s="1"/>
  <c r="Q54" i="129" s="1"/>
  <c r="S54" i="129" s="1"/>
  <c r="T54" i="129" s="1"/>
  <c r="S53" i="72" s="1"/>
  <c r="O52" i="129"/>
  <c r="O50" i="129"/>
  <c r="P50" i="129" s="1"/>
  <c r="O48" i="129"/>
  <c r="O47" i="129"/>
  <c r="O46" i="129"/>
  <c r="P46" i="129" s="1"/>
  <c r="AO45" i="72" s="1"/>
  <c r="O44" i="129"/>
  <c r="O43" i="129"/>
  <c r="P43" i="129" s="1"/>
  <c r="AO42" i="72" s="1"/>
  <c r="O42" i="129"/>
  <c r="O40" i="129"/>
  <c r="O39" i="129"/>
  <c r="O38" i="129"/>
  <c r="R37" i="100" s="1"/>
  <c r="O36" i="129"/>
  <c r="O34" i="129"/>
  <c r="P34" i="129" s="1"/>
  <c r="AO33" i="72" s="1"/>
  <c r="O32" i="129"/>
  <c r="O31" i="129"/>
  <c r="P31" i="129" s="1"/>
  <c r="AO30" i="72" s="1"/>
  <c r="O30" i="129"/>
  <c r="O28" i="129"/>
  <c r="O26" i="129"/>
  <c r="R25" i="100" s="1"/>
  <c r="O24" i="129"/>
  <c r="O22" i="129"/>
  <c r="O20" i="129"/>
  <c r="O19" i="129"/>
  <c r="O18" i="129"/>
  <c r="R17" i="100" s="1"/>
  <c r="O16" i="129"/>
  <c r="O15" i="129"/>
  <c r="P15" i="129" s="1"/>
  <c r="O14" i="129"/>
  <c r="O12" i="129"/>
  <c r="O10" i="129"/>
  <c r="P10" i="129" s="1"/>
  <c r="AO9" i="72" s="1"/>
  <c r="O8" i="129"/>
  <c r="O74" i="131"/>
  <c r="S73" i="100" s="1"/>
  <c r="O72" i="131"/>
  <c r="O70" i="131"/>
  <c r="S69" i="100" s="1"/>
  <c r="O68" i="131"/>
  <c r="O66" i="131"/>
  <c r="O64" i="131"/>
  <c r="O63" i="131"/>
  <c r="O62" i="131"/>
  <c r="O60" i="131"/>
  <c r="O59" i="131"/>
  <c r="P59" i="131" s="1"/>
  <c r="O58" i="131"/>
  <c r="O56" i="131"/>
  <c r="O54" i="131"/>
  <c r="P54" i="131" s="1"/>
  <c r="Q54" i="131" s="1"/>
  <c r="S54" i="131" s="1"/>
  <c r="T54" i="131" s="1"/>
  <c r="T53" i="72" s="1"/>
  <c r="O52" i="131"/>
  <c r="O50" i="131"/>
  <c r="S49" i="100" s="1"/>
  <c r="O48" i="131"/>
  <c r="O47" i="131"/>
  <c r="O46" i="131"/>
  <c r="S45" i="100" s="1"/>
  <c r="O44" i="131"/>
  <c r="O43" i="131"/>
  <c r="S42" i="100" s="1"/>
  <c r="O42" i="131"/>
  <c r="O40" i="131"/>
  <c r="O39" i="131"/>
  <c r="S38" i="100" s="1"/>
  <c r="O38" i="131"/>
  <c r="O36" i="131"/>
  <c r="O35" i="131"/>
  <c r="S34" i="100" s="1"/>
  <c r="O34" i="131"/>
  <c r="O32" i="131"/>
  <c r="O31" i="131"/>
  <c r="S30" i="100" s="1"/>
  <c r="O30" i="131"/>
  <c r="O28" i="131"/>
  <c r="O27" i="131"/>
  <c r="S26" i="100" s="1"/>
  <c r="O26" i="131"/>
  <c r="O24" i="131"/>
  <c r="O23" i="131"/>
  <c r="S22" i="100" s="1"/>
  <c r="O22" i="131"/>
  <c r="S21" i="100" s="1"/>
  <c r="O20" i="131"/>
  <c r="O18" i="131"/>
  <c r="S17" i="100" s="1"/>
  <c r="O16" i="131"/>
  <c r="O14" i="131"/>
  <c r="O12" i="131"/>
  <c r="O8" i="131"/>
  <c r="O72" i="125"/>
  <c r="O70" i="125"/>
  <c r="O68" i="125"/>
  <c r="O66" i="125"/>
  <c r="O64" i="125"/>
  <c r="O62" i="125"/>
  <c r="O60" i="125"/>
  <c r="O58" i="125"/>
  <c r="O56" i="125"/>
  <c r="O54" i="125"/>
  <c r="O52" i="125"/>
  <c r="O50" i="125"/>
  <c r="N49" i="100" s="1"/>
  <c r="O48" i="125"/>
  <c r="O44" i="125"/>
  <c r="O42" i="125"/>
  <c r="N41" i="100" s="1"/>
  <c r="O40" i="125"/>
  <c r="O38" i="125"/>
  <c r="O36" i="125"/>
  <c r="O32" i="125"/>
  <c r="O28" i="125"/>
  <c r="O26" i="125"/>
  <c r="O24" i="125"/>
  <c r="O22" i="125"/>
  <c r="O20" i="125"/>
  <c r="O18" i="125"/>
  <c r="P18" i="125" s="1"/>
  <c r="AK17" i="72" s="1"/>
  <c r="O16" i="125"/>
  <c r="O14" i="125"/>
  <c r="O12" i="125"/>
  <c r="O8" i="125"/>
  <c r="O7" i="127"/>
  <c r="P6" i="100" s="1"/>
  <c r="O7" i="129"/>
  <c r="O7" i="125"/>
  <c r="N6" i="100" s="1"/>
  <c r="O74" i="120"/>
  <c r="P74" i="120" s="1"/>
  <c r="AJ73" i="72" s="1"/>
  <c r="O72" i="120"/>
  <c r="O70" i="120"/>
  <c r="M69" i="100" s="1"/>
  <c r="O68" i="120"/>
  <c r="O66" i="120"/>
  <c r="M65" i="100" s="1"/>
  <c r="O64" i="120"/>
  <c r="O62" i="120"/>
  <c r="O60" i="120"/>
  <c r="O58" i="120"/>
  <c r="O54" i="120"/>
  <c r="P54" i="120" s="1"/>
  <c r="AJ53" i="72" s="1"/>
  <c r="O52" i="120"/>
  <c r="O50" i="120"/>
  <c r="P50" i="120" s="1"/>
  <c r="AJ49" i="72" s="1"/>
  <c r="O48" i="120"/>
  <c r="M47" i="100" s="1"/>
  <c r="O46" i="120"/>
  <c r="M45" i="100" s="1"/>
  <c r="O44" i="120"/>
  <c r="O42" i="120"/>
  <c r="O38" i="120"/>
  <c r="O36" i="120"/>
  <c r="M35" i="100" s="1"/>
  <c r="O34" i="120"/>
  <c r="O32" i="120"/>
  <c r="P32" i="120" s="1"/>
  <c r="AJ31" i="72" s="1"/>
  <c r="O30" i="120"/>
  <c r="M29" i="100" s="1"/>
  <c r="O28" i="120"/>
  <c r="O26" i="120"/>
  <c r="P26" i="120" s="1"/>
  <c r="O24" i="120"/>
  <c r="P24" i="120" s="1"/>
  <c r="O22" i="120"/>
  <c r="O20" i="120"/>
  <c r="O18" i="120"/>
  <c r="M17" i="100" s="1"/>
  <c r="O16" i="120"/>
  <c r="M15" i="100" s="1"/>
  <c r="O14" i="120"/>
  <c r="P14" i="120" s="1"/>
  <c r="AJ13" i="72" s="1"/>
  <c r="O12" i="120"/>
  <c r="O10" i="120"/>
  <c r="M9" i="100" s="1"/>
  <c r="O8" i="120"/>
  <c r="P8" i="120" s="1"/>
  <c r="AJ7" i="72" s="1"/>
  <c r="O75" i="119"/>
  <c r="L74" i="100" s="1"/>
  <c r="O73" i="119"/>
  <c r="O71" i="119"/>
  <c r="P71" i="119" s="1"/>
  <c r="O69" i="119"/>
  <c r="O67" i="119"/>
  <c r="L66" i="100" s="1"/>
  <c r="O65" i="119"/>
  <c r="O63" i="119"/>
  <c r="P63" i="119" s="1"/>
  <c r="AI62" i="72" s="1"/>
  <c r="O61" i="119"/>
  <c r="O59" i="119"/>
  <c r="O57" i="119"/>
  <c r="L56" i="100" s="1"/>
  <c r="O55" i="119"/>
  <c r="O53" i="119"/>
  <c r="O51" i="119"/>
  <c r="O49" i="119"/>
  <c r="O47" i="119"/>
  <c r="O45" i="119"/>
  <c r="O43" i="119"/>
  <c r="O39" i="119"/>
  <c r="O37" i="119"/>
  <c r="O35" i="119"/>
  <c r="O33" i="119"/>
  <c r="O31" i="119"/>
  <c r="P31" i="119" s="1"/>
  <c r="AI30" i="72" s="1"/>
  <c r="O29" i="119"/>
  <c r="O27" i="119"/>
  <c r="O25" i="119"/>
  <c r="L24" i="100" s="1"/>
  <c r="O23" i="119"/>
  <c r="P23" i="119" s="1"/>
  <c r="AI22" i="72" s="1"/>
  <c r="O21" i="119"/>
  <c r="L20" i="100" s="1"/>
  <c r="O19" i="119"/>
  <c r="O17" i="119"/>
  <c r="O15" i="119"/>
  <c r="O13" i="119"/>
  <c r="L12" i="100" s="1"/>
  <c r="O11" i="119"/>
  <c r="O9" i="119"/>
  <c r="O7" i="119"/>
  <c r="O72" i="118"/>
  <c r="O70" i="118"/>
  <c r="O68" i="118"/>
  <c r="O66" i="118"/>
  <c r="K65" i="100" s="1"/>
  <c r="O64" i="118"/>
  <c r="K63" i="100" s="1"/>
  <c r="O62" i="118"/>
  <c r="P62" i="118" s="1"/>
  <c r="AH61" i="72" s="1"/>
  <c r="O60" i="118"/>
  <c r="O58" i="118"/>
  <c r="P58" i="118" s="1"/>
  <c r="AH57" i="72" s="1"/>
  <c r="O56" i="118"/>
  <c r="O52" i="118"/>
  <c r="O50" i="118"/>
  <c r="O48" i="118"/>
  <c r="K47" i="100" s="1"/>
  <c r="O44" i="118"/>
  <c r="P44" i="118" s="1"/>
  <c r="O42" i="118"/>
  <c r="P42" i="118" s="1"/>
  <c r="O40" i="118"/>
  <c r="P40" i="118" s="1"/>
  <c r="AH39" i="72" s="1"/>
  <c r="O38" i="118"/>
  <c r="P38" i="118" s="1"/>
  <c r="O36" i="118"/>
  <c r="O34" i="118"/>
  <c r="O32" i="118"/>
  <c r="O30" i="118"/>
  <c r="O28" i="118"/>
  <c r="O26" i="118"/>
  <c r="O24" i="118"/>
  <c r="P24" i="118" s="1"/>
  <c r="O20" i="118"/>
  <c r="O18" i="118"/>
  <c r="O16" i="118"/>
  <c r="K15" i="100" s="1"/>
  <c r="O14" i="118"/>
  <c r="P14" i="118" s="1"/>
  <c r="AH13" i="72" s="1"/>
  <c r="O12" i="118"/>
  <c r="O8" i="118"/>
  <c r="O75" i="115"/>
  <c r="H74" i="100" s="1"/>
  <c r="O73" i="115"/>
  <c r="O71" i="115"/>
  <c r="H70" i="100" s="1"/>
  <c r="O69" i="115"/>
  <c r="H68" i="100" s="1"/>
  <c r="O67" i="115"/>
  <c r="O65" i="115"/>
  <c r="O63" i="115"/>
  <c r="O61" i="115"/>
  <c r="O59" i="115"/>
  <c r="P59" i="115" s="1"/>
  <c r="O57" i="115"/>
  <c r="O55" i="115"/>
  <c r="P55" i="115" s="1"/>
  <c r="AE54" i="72" s="1"/>
  <c r="O53" i="115"/>
  <c r="O49" i="115"/>
  <c r="H48" i="100" s="1"/>
  <c r="O47" i="115"/>
  <c r="P47" i="115" s="1"/>
  <c r="AE46" i="72" s="1"/>
  <c r="O45" i="115"/>
  <c r="O43" i="115"/>
  <c r="O41" i="115"/>
  <c r="O39" i="115"/>
  <c r="H38" i="100" s="1"/>
  <c r="O37" i="115"/>
  <c r="O33" i="115"/>
  <c r="O31" i="115"/>
  <c r="H30" i="100" s="1"/>
  <c r="O29" i="115"/>
  <c r="O27" i="115"/>
  <c r="O25" i="115"/>
  <c r="O21" i="115"/>
  <c r="O19" i="115"/>
  <c r="H18" i="100" s="1"/>
  <c r="O17" i="115"/>
  <c r="H16" i="100" s="1"/>
  <c r="O15" i="115"/>
  <c r="H14" i="100" s="1"/>
  <c r="O13" i="115"/>
  <c r="O9" i="115"/>
  <c r="O7" i="115"/>
  <c r="Q74" i="117"/>
  <c r="R74" i="117" s="1"/>
  <c r="AG73" i="72" s="1"/>
  <c r="Q72" i="117"/>
  <c r="R72" i="117" s="1"/>
  <c r="AG71" i="72" s="1"/>
  <c r="Q70" i="117"/>
  <c r="Q68" i="117"/>
  <c r="J67" i="100" s="1"/>
  <c r="Q66" i="117"/>
  <c r="Q64" i="117"/>
  <c r="Q62" i="117"/>
  <c r="Q58" i="117"/>
  <c r="J57" i="100" s="1"/>
  <c r="Q56" i="117"/>
  <c r="Q54" i="117"/>
  <c r="Q50" i="117"/>
  <c r="Q48" i="117"/>
  <c r="J47" i="100" s="1"/>
  <c r="Q46" i="117"/>
  <c r="Q44" i="117"/>
  <c r="Q42" i="117"/>
  <c r="Q40" i="117"/>
  <c r="R40" i="117" s="1"/>
  <c r="AG39" i="72" s="1"/>
  <c r="Q38" i="117"/>
  <c r="Q36" i="117"/>
  <c r="Q34" i="117"/>
  <c r="J33" i="100" s="1"/>
  <c r="Q32" i="117"/>
  <c r="Q30" i="117"/>
  <c r="Q28" i="117"/>
  <c r="R28" i="117" s="1"/>
  <c r="AG27" i="72" s="1"/>
  <c r="Q26" i="117"/>
  <c r="Q24" i="117"/>
  <c r="J23" i="100" s="1"/>
  <c r="Q22" i="117"/>
  <c r="Q20" i="117"/>
  <c r="Q18" i="117"/>
  <c r="Q16" i="117"/>
  <c r="J15" i="100" s="1"/>
  <c r="Q14" i="117"/>
  <c r="Q12" i="117"/>
  <c r="J11" i="100" s="1"/>
  <c r="Q10" i="117"/>
  <c r="Q8" i="117"/>
  <c r="O75" i="116"/>
  <c r="I74" i="100" s="1"/>
  <c r="O73" i="116"/>
  <c r="O71" i="116"/>
  <c r="O69" i="116"/>
  <c r="O67" i="116"/>
  <c r="O65" i="116"/>
  <c r="P65" i="116" s="1"/>
  <c r="O63" i="116"/>
  <c r="O61" i="116"/>
  <c r="O59" i="116"/>
  <c r="O57" i="116"/>
  <c r="O55" i="116"/>
  <c r="O53" i="116"/>
  <c r="I52" i="100" s="1"/>
  <c r="O51" i="116"/>
  <c r="P51" i="116" s="1"/>
  <c r="AF50" i="72" s="1"/>
  <c r="O49" i="116"/>
  <c r="P49" i="116" s="1"/>
  <c r="AF48" i="72" s="1"/>
  <c r="O47" i="116"/>
  <c r="O45" i="116"/>
  <c r="I44" i="100" s="1"/>
  <c r="O43" i="116"/>
  <c r="O39" i="116"/>
  <c r="P39" i="116" s="1"/>
  <c r="O37" i="116"/>
  <c r="I36" i="100" s="1"/>
  <c r="O35" i="116"/>
  <c r="O33" i="116"/>
  <c r="O31" i="116"/>
  <c r="O29" i="116"/>
  <c r="P29" i="116" s="1"/>
  <c r="O27" i="116"/>
  <c r="O25" i="116"/>
  <c r="O23" i="116"/>
  <c r="O21" i="116"/>
  <c r="P21" i="116" s="1"/>
  <c r="AF20" i="72" s="1"/>
  <c r="O19" i="116"/>
  <c r="I18" i="100" s="1"/>
  <c r="O17" i="116"/>
  <c r="O15" i="116"/>
  <c r="P15" i="116" s="1"/>
  <c r="O13" i="116"/>
  <c r="I12" i="100" s="1"/>
  <c r="O11" i="116"/>
  <c r="O9" i="116"/>
  <c r="O7" i="116"/>
  <c r="O72" i="114"/>
  <c r="O70" i="114"/>
  <c r="G69" i="100" s="1"/>
  <c r="O68" i="114"/>
  <c r="O66" i="114"/>
  <c r="O64" i="114"/>
  <c r="G63" i="100" s="1"/>
  <c r="O62" i="114"/>
  <c r="G61" i="100" s="1"/>
  <c r="O60" i="114"/>
  <c r="O58" i="114"/>
  <c r="O56" i="114"/>
  <c r="O52" i="114"/>
  <c r="O50" i="114"/>
  <c r="O48" i="114"/>
  <c r="O44" i="114"/>
  <c r="O42" i="114"/>
  <c r="G41" i="100" s="1"/>
  <c r="O40" i="114"/>
  <c r="O38" i="114"/>
  <c r="G37" i="100" s="1"/>
  <c r="O36" i="114"/>
  <c r="O34" i="114"/>
  <c r="O32" i="114"/>
  <c r="O30" i="114"/>
  <c r="O28" i="114"/>
  <c r="O26" i="114"/>
  <c r="O24" i="114"/>
  <c r="O20" i="114"/>
  <c r="O18" i="114"/>
  <c r="O16" i="114"/>
  <c r="O14" i="114"/>
  <c r="P14" i="114" s="1"/>
  <c r="O12" i="114"/>
  <c r="O8" i="114"/>
  <c r="O75" i="113"/>
  <c r="P75" i="113" s="1"/>
  <c r="AC74" i="72" s="1"/>
  <c r="O73" i="113"/>
  <c r="P73" i="113" s="1"/>
  <c r="AC72" i="72" s="1"/>
  <c r="O69" i="113"/>
  <c r="F68" i="100" s="1"/>
  <c r="O65" i="113"/>
  <c r="P65" i="113" s="1"/>
  <c r="Q65" i="113" s="1"/>
  <c r="S65" i="113" s="1"/>
  <c r="T65" i="113" s="1"/>
  <c r="F64" i="72" s="1"/>
  <c r="O63" i="113"/>
  <c r="F62" i="100" s="1"/>
  <c r="O61" i="113"/>
  <c r="O57" i="113"/>
  <c r="O53" i="113"/>
  <c r="P53" i="113" s="1"/>
  <c r="AC52" i="72" s="1"/>
  <c r="O51" i="113"/>
  <c r="O49" i="113"/>
  <c r="O47" i="113"/>
  <c r="O45" i="113"/>
  <c r="O41" i="113"/>
  <c r="O39" i="113"/>
  <c r="O37" i="113"/>
  <c r="P37" i="113" s="1"/>
  <c r="AC36" i="72" s="1"/>
  <c r="O35" i="113"/>
  <c r="F34" i="100" s="1"/>
  <c r="O33" i="113"/>
  <c r="O29" i="113"/>
  <c r="F28" i="100" s="1"/>
  <c r="O27" i="113"/>
  <c r="O25" i="113"/>
  <c r="P25" i="113" s="1"/>
  <c r="O23" i="113"/>
  <c r="O21" i="113"/>
  <c r="O19" i="113"/>
  <c r="P19" i="113" s="1"/>
  <c r="AC18" i="72" s="1"/>
  <c r="O17" i="113"/>
  <c r="O15" i="113"/>
  <c r="O13" i="113"/>
  <c r="P13" i="113" s="1"/>
  <c r="AC12" i="72" s="1"/>
  <c r="O11" i="113"/>
  <c r="P11" i="113" s="1"/>
  <c r="AC10" i="72" s="1"/>
  <c r="O9" i="113"/>
  <c r="L68" i="31"/>
  <c r="N68" i="31" s="1"/>
  <c r="L41" i="31"/>
  <c r="L32" i="31"/>
  <c r="L30" i="31"/>
  <c r="G9" i="31"/>
  <c r="C60" i="31"/>
  <c r="G60" i="31" s="1"/>
  <c r="C16" i="46"/>
  <c r="C15" i="46"/>
  <c r="G15" i="46" s="1"/>
  <c r="C14" i="46"/>
  <c r="G14" i="46" s="1"/>
  <c r="C13" i="46"/>
  <c r="C12" i="46"/>
  <c r="C11" i="46"/>
  <c r="C10" i="46"/>
  <c r="G10" i="46" s="1"/>
  <c r="C35" i="46"/>
  <c r="G35" i="46" s="1"/>
  <c r="C29" i="46"/>
  <c r="C28" i="46"/>
  <c r="G28" i="46" s="1"/>
  <c r="C23" i="46"/>
  <c r="C17" i="46"/>
  <c r="G17" i="46" s="1"/>
  <c r="C67" i="31"/>
  <c r="L67" i="31" s="1"/>
  <c r="C66" i="31"/>
  <c r="G66" i="31" s="1"/>
  <c r="C65" i="31"/>
  <c r="C64" i="31"/>
  <c r="C63" i="31"/>
  <c r="L63" i="31" s="1"/>
  <c r="C62" i="31"/>
  <c r="L62" i="31" s="1"/>
  <c r="C61" i="31"/>
  <c r="G61" i="31" s="1"/>
  <c r="C59" i="31"/>
  <c r="C58" i="31"/>
  <c r="G58" i="31" s="1"/>
  <c r="C57" i="31"/>
  <c r="G57" i="31" s="1"/>
  <c r="C56" i="31"/>
  <c r="C55" i="31"/>
  <c r="C54" i="31"/>
  <c r="C53" i="31"/>
  <c r="G53" i="31" s="1"/>
  <c r="C52" i="31"/>
  <c r="C51" i="31"/>
  <c r="G51" i="31" s="1"/>
  <c r="C50" i="31"/>
  <c r="G50" i="31" s="1"/>
  <c r="C49" i="31"/>
  <c r="G49" i="31" s="1"/>
  <c r="C48" i="31"/>
  <c r="G48" i="31" s="1"/>
  <c r="C47" i="31"/>
  <c r="L47" i="31" s="1"/>
  <c r="C46" i="31"/>
  <c r="G46" i="31" s="1"/>
  <c r="C45" i="31"/>
  <c r="C44" i="31"/>
  <c r="G44" i="31" s="1"/>
  <c r="C43" i="31"/>
  <c r="G43" i="31" s="1"/>
  <c r="C42" i="31"/>
  <c r="G42" i="31" s="1"/>
  <c r="C40" i="31"/>
  <c r="G40" i="31" s="1"/>
  <c r="C39" i="31"/>
  <c r="C38" i="31"/>
  <c r="L38" i="31" s="1"/>
  <c r="C37" i="31"/>
  <c r="G37" i="31" s="1"/>
  <c r="C36" i="31"/>
  <c r="C35" i="31"/>
  <c r="C34" i="31"/>
  <c r="G34" i="31" s="1"/>
  <c r="C33" i="31"/>
  <c r="C31" i="31"/>
  <c r="C25" i="31"/>
  <c r="G25" i="31" s="1"/>
  <c r="C29" i="31"/>
  <c r="L29" i="31" s="1"/>
  <c r="N29" i="31" s="1"/>
  <c r="C28" i="31"/>
  <c r="G28" i="31" s="1"/>
  <c r="C27" i="31"/>
  <c r="C26" i="31"/>
  <c r="C24" i="31"/>
  <c r="G24" i="31" s="1"/>
  <c r="C23" i="31"/>
  <c r="L23" i="31" s="1"/>
  <c r="M23" i="31" s="1"/>
  <c r="C22" i="31"/>
  <c r="C21" i="31"/>
  <c r="G21" i="31" s="1"/>
  <c r="C19" i="31"/>
  <c r="G19" i="31" s="1"/>
  <c r="C18" i="31"/>
  <c r="C17" i="31"/>
  <c r="L17" i="31" s="1"/>
  <c r="C16" i="31"/>
  <c r="C15" i="31"/>
  <c r="C14" i="31"/>
  <c r="G14" i="31" s="1"/>
  <c r="C13" i="31"/>
  <c r="G13" i="31" s="1"/>
  <c r="C12" i="31"/>
  <c r="G12" i="31" s="1"/>
  <c r="G72" i="1"/>
  <c r="G68" i="1"/>
  <c r="G64" i="1"/>
  <c r="G60" i="1"/>
  <c r="G56" i="1"/>
  <c r="G52" i="1"/>
  <c r="G48" i="1"/>
  <c r="G44" i="1"/>
  <c r="G40" i="1"/>
  <c r="G36" i="1"/>
  <c r="G32" i="1"/>
  <c r="G28" i="1"/>
  <c r="G24" i="1"/>
  <c r="G20" i="1"/>
  <c r="G12" i="1"/>
  <c r="G8" i="1"/>
  <c r="E76" i="1"/>
  <c r="E74" i="1"/>
  <c r="E71" i="1"/>
  <c r="E70" i="1"/>
  <c r="E68" i="1"/>
  <c r="E67" i="1"/>
  <c r="E66" i="1"/>
  <c r="E63" i="1"/>
  <c r="E62" i="1"/>
  <c r="E59" i="1"/>
  <c r="E58" i="1"/>
  <c r="E55" i="1"/>
  <c r="E54" i="1"/>
  <c r="E51" i="1"/>
  <c r="E50" i="1"/>
  <c r="E47" i="1"/>
  <c r="E46" i="1"/>
  <c r="E42" i="1"/>
  <c r="E39" i="1"/>
  <c r="E38" i="1"/>
  <c r="E36" i="1"/>
  <c r="E35" i="1"/>
  <c r="E34" i="1"/>
  <c r="E32" i="1"/>
  <c r="E31" i="1"/>
  <c r="E30" i="1"/>
  <c r="E27" i="1"/>
  <c r="E26" i="1"/>
  <c r="E23" i="1"/>
  <c r="E22" i="1"/>
  <c r="E20" i="1"/>
  <c r="E19" i="1"/>
  <c r="E18" i="1"/>
  <c r="E15" i="1"/>
  <c r="E14" i="1"/>
  <c r="E10" i="1"/>
  <c r="E8" i="1"/>
  <c r="B9" i="5"/>
  <c r="B8" i="5"/>
  <c r="B10" i="5" s="1"/>
  <c r="E13" i="81" s="1"/>
  <c r="O6" i="1"/>
  <c r="P6" i="1"/>
  <c r="Q6" i="1"/>
  <c r="R6" i="1"/>
  <c r="S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P20" i="13"/>
  <c r="J20" i="13"/>
  <c r="G63" i="81"/>
  <c r="W76" i="33"/>
  <c r="Z69" i="13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75" i="126"/>
  <c r="G75" i="126" s="1"/>
  <c r="F74" i="126"/>
  <c r="F73" i="126"/>
  <c r="G73" i="126" s="1"/>
  <c r="F72" i="126"/>
  <c r="G72" i="126" s="1"/>
  <c r="F71" i="126"/>
  <c r="G71" i="126" s="1"/>
  <c r="F70" i="126"/>
  <c r="G70" i="126" s="1"/>
  <c r="F69" i="126"/>
  <c r="F68" i="126"/>
  <c r="G68" i="126" s="1"/>
  <c r="F67" i="126"/>
  <c r="G67" i="126" s="1"/>
  <c r="F66" i="126"/>
  <c r="F65" i="126"/>
  <c r="F64" i="126"/>
  <c r="G64" i="126" s="1"/>
  <c r="F63" i="126"/>
  <c r="F62" i="126"/>
  <c r="G62" i="126" s="1"/>
  <c r="F61" i="126"/>
  <c r="G61" i="126" s="1"/>
  <c r="F60" i="126"/>
  <c r="G60" i="126" s="1"/>
  <c r="F59" i="126"/>
  <c r="F58" i="126"/>
  <c r="G58" i="126" s="1"/>
  <c r="F57" i="126"/>
  <c r="F56" i="126"/>
  <c r="G56" i="126" s="1"/>
  <c r="F55" i="126"/>
  <c r="G55" i="126" s="1"/>
  <c r="F54" i="126"/>
  <c r="F53" i="126"/>
  <c r="G53" i="126" s="1"/>
  <c r="F52" i="126"/>
  <c r="G52" i="126" s="1"/>
  <c r="F51" i="126"/>
  <c r="G51" i="126" s="1"/>
  <c r="F50" i="126"/>
  <c r="F49" i="126"/>
  <c r="F48" i="126"/>
  <c r="G48" i="126" s="1"/>
  <c r="F47" i="126"/>
  <c r="G47" i="126" s="1"/>
  <c r="F46" i="126"/>
  <c r="G46" i="126" s="1"/>
  <c r="F44" i="126"/>
  <c r="F43" i="126"/>
  <c r="G43" i="126" s="1"/>
  <c r="F41" i="126"/>
  <c r="G41" i="126" s="1"/>
  <c r="F40" i="126"/>
  <c r="G40" i="126" s="1"/>
  <c r="F39" i="126"/>
  <c r="F38" i="126"/>
  <c r="G38" i="126" s="1"/>
  <c r="F37" i="126"/>
  <c r="G37" i="126" s="1"/>
  <c r="F36" i="126"/>
  <c r="F35" i="126"/>
  <c r="G35" i="126" s="1"/>
  <c r="F34" i="126"/>
  <c r="G34" i="126" s="1"/>
  <c r="F33" i="126"/>
  <c r="F32" i="126"/>
  <c r="F31" i="126"/>
  <c r="G31" i="126" s="1"/>
  <c r="F30" i="126"/>
  <c r="G30" i="126" s="1"/>
  <c r="F29" i="126"/>
  <c r="G29" i="126" s="1"/>
  <c r="F28" i="126"/>
  <c r="G28" i="126" s="1"/>
  <c r="F27" i="126"/>
  <c r="G27" i="126" s="1"/>
  <c r="F26" i="126"/>
  <c r="G26" i="126" s="1"/>
  <c r="F25" i="126"/>
  <c r="G25" i="126" s="1"/>
  <c r="F24" i="126"/>
  <c r="G24" i="126" s="1"/>
  <c r="F22" i="126"/>
  <c r="G22" i="126" s="1"/>
  <c r="F21" i="126"/>
  <c r="G21" i="126" s="1"/>
  <c r="F20" i="126"/>
  <c r="F19" i="126"/>
  <c r="F18" i="126"/>
  <c r="G18" i="126" s="1"/>
  <c r="F17" i="126"/>
  <c r="G17" i="126" s="1"/>
  <c r="F16" i="126"/>
  <c r="G16" i="126" s="1"/>
  <c r="F15" i="126"/>
  <c r="G15" i="126" s="1"/>
  <c r="F14" i="126"/>
  <c r="F13" i="126"/>
  <c r="G13" i="126" s="1"/>
  <c r="F12" i="126"/>
  <c r="G12" i="126" s="1"/>
  <c r="F11" i="126"/>
  <c r="G11" i="126" s="1"/>
  <c r="F10" i="126"/>
  <c r="G10" i="126" s="1"/>
  <c r="F9" i="126"/>
  <c r="G9" i="126" s="1"/>
  <c r="F8" i="126"/>
  <c r="G8" i="126" s="1"/>
  <c r="F75" i="127"/>
  <c r="F74" i="127"/>
  <c r="G74" i="127" s="1"/>
  <c r="F73" i="127"/>
  <c r="G73" i="127" s="1"/>
  <c r="F72" i="127"/>
  <c r="G72" i="127" s="1"/>
  <c r="F71" i="127"/>
  <c r="F70" i="127"/>
  <c r="G70" i="127" s="1"/>
  <c r="F69" i="127"/>
  <c r="G69" i="127" s="1"/>
  <c r="F68" i="127"/>
  <c r="G68" i="127" s="1"/>
  <c r="F67" i="127"/>
  <c r="G67" i="127" s="1"/>
  <c r="F66" i="127"/>
  <c r="G66" i="127" s="1"/>
  <c r="F65" i="127"/>
  <c r="G65" i="127" s="1"/>
  <c r="F64" i="127"/>
  <c r="G64" i="127" s="1"/>
  <c r="F63" i="127"/>
  <c r="F62" i="127"/>
  <c r="F61" i="127"/>
  <c r="G61" i="127" s="1"/>
  <c r="F60" i="127"/>
  <c r="G60" i="127" s="1"/>
  <c r="F59" i="127"/>
  <c r="G59" i="127" s="1"/>
  <c r="F58" i="127"/>
  <c r="F57" i="127"/>
  <c r="G57" i="127" s="1"/>
  <c r="F56" i="127"/>
  <c r="G56" i="127" s="1"/>
  <c r="F55" i="127"/>
  <c r="G55" i="127" s="1"/>
  <c r="F54" i="127"/>
  <c r="G54" i="127" s="1"/>
  <c r="F53" i="127"/>
  <c r="G53" i="127" s="1"/>
  <c r="F52" i="127"/>
  <c r="G52" i="127" s="1"/>
  <c r="F51" i="127"/>
  <c r="F50" i="127"/>
  <c r="F49" i="127"/>
  <c r="G49" i="127" s="1"/>
  <c r="F48" i="127"/>
  <c r="G48" i="127" s="1"/>
  <c r="F47" i="127"/>
  <c r="F46" i="127"/>
  <c r="G46" i="127" s="1"/>
  <c r="F44" i="127"/>
  <c r="G44" i="127" s="1"/>
  <c r="F43" i="127"/>
  <c r="G43" i="127" s="1"/>
  <c r="F41" i="127"/>
  <c r="F40" i="127"/>
  <c r="G40" i="127" s="1"/>
  <c r="F39" i="127"/>
  <c r="G39" i="127" s="1"/>
  <c r="F38" i="127"/>
  <c r="G38" i="127" s="1"/>
  <c r="F37" i="127"/>
  <c r="F36" i="127"/>
  <c r="F35" i="127"/>
  <c r="G35" i="127" s="1"/>
  <c r="F34" i="127"/>
  <c r="F33" i="127"/>
  <c r="F32" i="127"/>
  <c r="G32" i="127" s="1"/>
  <c r="F31" i="127"/>
  <c r="G31" i="127" s="1"/>
  <c r="F30" i="127"/>
  <c r="G30" i="127" s="1"/>
  <c r="F29" i="127"/>
  <c r="F28" i="127"/>
  <c r="G28" i="127" s="1"/>
  <c r="F27" i="127"/>
  <c r="G27" i="127" s="1"/>
  <c r="F26" i="127"/>
  <c r="G26" i="127" s="1"/>
  <c r="F25" i="127"/>
  <c r="F24" i="127"/>
  <c r="G24" i="127" s="1"/>
  <c r="F22" i="127"/>
  <c r="G22" i="127" s="1"/>
  <c r="F21" i="127"/>
  <c r="G21" i="127" s="1"/>
  <c r="F20" i="127"/>
  <c r="F19" i="127"/>
  <c r="G19" i="127" s="1"/>
  <c r="F18" i="127"/>
  <c r="G18" i="127" s="1"/>
  <c r="F17" i="127"/>
  <c r="G17" i="127" s="1"/>
  <c r="F16" i="127"/>
  <c r="F15" i="127"/>
  <c r="G15" i="127" s="1"/>
  <c r="F14" i="127"/>
  <c r="G14" i="127" s="1"/>
  <c r="F13" i="127"/>
  <c r="F12" i="127"/>
  <c r="F11" i="127"/>
  <c r="G11" i="127" s="1"/>
  <c r="F10" i="127"/>
  <c r="G10" i="127" s="1"/>
  <c r="F9" i="127"/>
  <c r="G9" i="127" s="1"/>
  <c r="F8" i="127"/>
  <c r="F75" i="128"/>
  <c r="F74" i="128"/>
  <c r="G74" i="128" s="1"/>
  <c r="F73" i="128"/>
  <c r="G73" i="128" s="1"/>
  <c r="F72" i="128"/>
  <c r="F71" i="128"/>
  <c r="G71" i="128" s="1"/>
  <c r="F70" i="128"/>
  <c r="G70" i="128" s="1"/>
  <c r="F69" i="128"/>
  <c r="G69" i="128" s="1"/>
  <c r="F68" i="128"/>
  <c r="F67" i="128"/>
  <c r="G67" i="128" s="1"/>
  <c r="F66" i="128"/>
  <c r="G66" i="128" s="1"/>
  <c r="F65" i="128"/>
  <c r="G65" i="128" s="1"/>
  <c r="F64" i="128"/>
  <c r="G64" i="128" s="1"/>
  <c r="F63" i="128"/>
  <c r="G63" i="128" s="1"/>
  <c r="F62" i="128"/>
  <c r="G62" i="128" s="1"/>
  <c r="F61" i="128"/>
  <c r="G61" i="128" s="1"/>
  <c r="F60" i="128"/>
  <c r="G60" i="128" s="1"/>
  <c r="F59" i="128"/>
  <c r="F58" i="128"/>
  <c r="G58" i="128" s="1"/>
  <c r="F57" i="128"/>
  <c r="F56" i="128"/>
  <c r="G56" i="128" s="1"/>
  <c r="F55" i="128"/>
  <c r="G55" i="128" s="1"/>
  <c r="F54" i="128"/>
  <c r="G54" i="128" s="1"/>
  <c r="F53" i="128"/>
  <c r="G53" i="128" s="1"/>
  <c r="F52" i="128"/>
  <c r="F51" i="128"/>
  <c r="F50" i="128"/>
  <c r="G50" i="128" s="1"/>
  <c r="F49" i="128"/>
  <c r="G49" i="128" s="1"/>
  <c r="F48" i="128"/>
  <c r="F47" i="128"/>
  <c r="G47" i="128" s="1"/>
  <c r="F46" i="128"/>
  <c r="G46" i="128" s="1"/>
  <c r="F44" i="128"/>
  <c r="G44" i="128" s="1"/>
  <c r="F43" i="128"/>
  <c r="G43" i="128" s="1"/>
  <c r="F41" i="128"/>
  <c r="G41" i="128" s="1"/>
  <c r="F40" i="128"/>
  <c r="G40" i="128" s="1"/>
  <c r="F39" i="128"/>
  <c r="G39" i="128" s="1"/>
  <c r="F38" i="128"/>
  <c r="G38" i="128" s="1"/>
  <c r="F37" i="128"/>
  <c r="G37" i="128" s="1"/>
  <c r="F36" i="128"/>
  <c r="G36" i="128" s="1"/>
  <c r="F35" i="128"/>
  <c r="G35" i="128" s="1"/>
  <c r="F34" i="128"/>
  <c r="G34" i="128" s="1"/>
  <c r="F33" i="128"/>
  <c r="F32" i="128"/>
  <c r="G32" i="128" s="1"/>
  <c r="F31" i="128"/>
  <c r="G31" i="128" s="1"/>
  <c r="F30" i="128"/>
  <c r="G30" i="128" s="1"/>
  <c r="F29" i="128"/>
  <c r="G29" i="128" s="1"/>
  <c r="F28" i="128"/>
  <c r="G28" i="128" s="1"/>
  <c r="F27" i="128"/>
  <c r="G27" i="128" s="1"/>
  <c r="F26" i="128"/>
  <c r="G26" i="128" s="1"/>
  <c r="F25" i="128"/>
  <c r="F24" i="128"/>
  <c r="G24" i="128" s="1"/>
  <c r="F22" i="128"/>
  <c r="G22" i="128" s="1"/>
  <c r="F21" i="128"/>
  <c r="G21" i="128" s="1"/>
  <c r="F20" i="128"/>
  <c r="F19" i="128"/>
  <c r="G19" i="128" s="1"/>
  <c r="F18" i="128"/>
  <c r="G18" i="128" s="1"/>
  <c r="F17" i="128"/>
  <c r="F16" i="128"/>
  <c r="G16" i="128" s="1"/>
  <c r="F15" i="128"/>
  <c r="G15" i="128" s="1"/>
  <c r="F14" i="128"/>
  <c r="G14" i="128" s="1"/>
  <c r="F13" i="128"/>
  <c r="G13" i="128" s="1"/>
  <c r="F12" i="128"/>
  <c r="F11" i="128"/>
  <c r="G11" i="128" s="1"/>
  <c r="F10" i="128"/>
  <c r="G10" i="128" s="1"/>
  <c r="F9" i="128"/>
  <c r="F8" i="128"/>
  <c r="G8" i="128" s="1"/>
  <c r="F75" i="129"/>
  <c r="F74" i="129"/>
  <c r="F73" i="129"/>
  <c r="F72" i="129"/>
  <c r="G72" i="129" s="1"/>
  <c r="F71" i="129"/>
  <c r="G71" i="129" s="1"/>
  <c r="F70" i="129"/>
  <c r="G70" i="129" s="1"/>
  <c r="F69" i="129"/>
  <c r="G69" i="129" s="1"/>
  <c r="F68" i="129"/>
  <c r="G68" i="129" s="1"/>
  <c r="F67" i="129"/>
  <c r="G67" i="129" s="1"/>
  <c r="F66" i="129"/>
  <c r="F65" i="129"/>
  <c r="F64" i="129"/>
  <c r="G64" i="129" s="1"/>
  <c r="F63" i="129"/>
  <c r="G63" i="129" s="1"/>
  <c r="F62" i="129"/>
  <c r="G62" i="129" s="1"/>
  <c r="F61" i="129"/>
  <c r="F60" i="129"/>
  <c r="G60" i="129" s="1"/>
  <c r="F59" i="129"/>
  <c r="G59" i="129" s="1"/>
  <c r="F58" i="129"/>
  <c r="G58" i="129" s="1"/>
  <c r="F57" i="129"/>
  <c r="G57" i="129" s="1"/>
  <c r="F56" i="129"/>
  <c r="F55" i="129"/>
  <c r="G55" i="129" s="1"/>
  <c r="F54" i="129"/>
  <c r="G54" i="129" s="1"/>
  <c r="F53" i="129"/>
  <c r="G53" i="129" s="1"/>
  <c r="F52" i="129"/>
  <c r="G52" i="129" s="1"/>
  <c r="F51" i="129"/>
  <c r="G51" i="129" s="1"/>
  <c r="F50" i="129"/>
  <c r="G50" i="129" s="1"/>
  <c r="F49" i="129"/>
  <c r="F48" i="129"/>
  <c r="G48" i="129" s="1"/>
  <c r="F47" i="129"/>
  <c r="G47" i="129" s="1"/>
  <c r="F46" i="129"/>
  <c r="G46" i="129" s="1"/>
  <c r="F44" i="129"/>
  <c r="F43" i="129"/>
  <c r="G43" i="129" s="1"/>
  <c r="F41" i="129"/>
  <c r="G41" i="129" s="1"/>
  <c r="F40" i="129"/>
  <c r="G40" i="129" s="1"/>
  <c r="F39" i="129"/>
  <c r="F38" i="129"/>
  <c r="G38" i="129" s="1"/>
  <c r="F37" i="129"/>
  <c r="G37" i="129" s="1"/>
  <c r="F36" i="129"/>
  <c r="G36" i="129" s="1"/>
  <c r="F35" i="129"/>
  <c r="F34" i="129"/>
  <c r="F33" i="129"/>
  <c r="G33" i="129" s="1"/>
  <c r="F32" i="129"/>
  <c r="G32" i="129" s="1"/>
  <c r="F31" i="129"/>
  <c r="F30" i="129"/>
  <c r="F29" i="129"/>
  <c r="G29" i="129" s="1"/>
  <c r="F28" i="129"/>
  <c r="G28" i="129" s="1"/>
  <c r="F27" i="129"/>
  <c r="G27" i="129" s="1"/>
  <c r="F26" i="129"/>
  <c r="F25" i="129"/>
  <c r="G25" i="129" s="1"/>
  <c r="F24" i="129"/>
  <c r="G24" i="129" s="1"/>
  <c r="F22" i="129"/>
  <c r="F21" i="129"/>
  <c r="G21" i="129" s="1"/>
  <c r="F20" i="129"/>
  <c r="G20" i="129" s="1"/>
  <c r="F19" i="129"/>
  <c r="G19" i="129" s="1"/>
  <c r="F18" i="129"/>
  <c r="F17" i="129"/>
  <c r="F16" i="129"/>
  <c r="G16" i="129" s="1"/>
  <c r="F15" i="129"/>
  <c r="G15" i="129" s="1"/>
  <c r="F14" i="129"/>
  <c r="F13" i="129"/>
  <c r="G13" i="129" s="1"/>
  <c r="F12" i="129"/>
  <c r="G12" i="129" s="1"/>
  <c r="F11" i="129"/>
  <c r="G11" i="129" s="1"/>
  <c r="F10" i="129"/>
  <c r="G10" i="129" s="1"/>
  <c r="F9" i="129"/>
  <c r="F8" i="129"/>
  <c r="G8" i="129" s="1"/>
  <c r="F75" i="131"/>
  <c r="F74" i="131"/>
  <c r="G74" i="131" s="1"/>
  <c r="F73" i="131"/>
  <c r="G73" i="131" s="1"/>
  <c r="F72" i="131"/>
  <c r="F71" i="131"/>
  <c r="F70" i="131"/>
  <c r="G70" i="131" s="1"/>
  <c r="F69" i="131"/>
  <c r="F68" i="131"/>
  <c r="G68" i="131" s="1"/>
  <c r="F67" i="131"/>
  <c r="G67" i="131" s="1"/>
  <c r="F66" i="131"/>
  <c r="F65" i="131"/>
  <c r="G65" i="131" s="1"/>
  <c r="F64" i="131"/>
  <c r="G64" i="131" s="1"/>
  <c r="F63" i="131"/>
  <c r="F62" i="131"/>
  <c r="G62" i="131" s="1"/>
  <c r="F61" i="131"/>
  <c r="G61" i="131" s="1"/>
  <c r="F60" i="131"/>
  <c r="G60" i="131" s="1"/>
  <c r="F59" i="131"/>
  <c r="G59" i="131" s="1"/>
  <c r="F58" i="131"/>
  <c r="F57" i="131"/>
  <c r="G57" i="131" s="1"/>
  <c r="F56" i="131"/>
  <c r="G56" i="131" s="1"/>
  <c r="F55" i="131"/>
  <c r="F54" i="131"/>
  <c r="G54" i="131" s="1"/>
  <c r="F53" i="131"/>
  <c r="G53" i="131" s="1"/>
  <c r="F52" i="131"/>
  <c r="G52" i="131" s="1"/>
  <c r="F51" i="131"/>
  <c r="F50" i="131"/>
  <c r="G50" i="131" s="1"/>
  <c r="F49" i="131"/>
  <c r="G49" i="131" s="1"/>
  <c r="F48" i="131"/>
  <c r="G48" i="131" s="1"/>
  <c r="F47" i="131"/>
  <c r="G47" i="131" s="1"/>
  <c r="F46" i="131"/>
  <c r="F44" i="131"/>
  <c r="G44" i="131" s="1"/>
  <c r="F43" i="131"/>
  <c r="F41" i="131"/>
  <c r="F40" i="131"/>
  <c r="G40" i="131" s="1"/>
  <c r="F39" i="131"/>
  <c r="G39" i="131" s="1"/>
  <c r="F38" i="131"/>
  <c r="G38" i="131" s="1"/>
  <c r="F37" i="131"/>
  <c r="F36" i="131"/>
  <c r="G36" i="131" s="1"/>
  <c r="F35" i="131"/>
  <c r="G35" i="131" s="1"/>
  <c r="F34" i="131"/>
  <c r="G34" i="131" s="1"/>
  <c r="F33" i="131"/>
  <c r="F32" i="131"/>
  <c r="G32" i="131" s="1"/>
  <c r="F31" i="131"/>
  <c r="G31" i="131" s="1"/>
  <c r="F30" i="131"/>
  <c r="F29" i="131"/>
  <c r="F28" i="131"/>
  <c r="G28" i="131" s="1"/>
  <c r="F27" i="131"/>
  <c r="G27" i="131" s="1"/>
  <c r="F26" i="131"/>
  <c r="G26" i="131" s="1"/>
  <c r="F25" i="131"/>
  <c r="G25" i="131" s="1"/>
  <c r="F24" i="131"/>
  <c r="G24" i="131" s="1"/>
  <c r="F22" i="131"/>
  <c r="G22" i="131" s="1"/>
  <c r="F21" i="131"/>
  <c r="G21" i="131" s="1"/>
  <c r="F20" i="131"/>
  <c r="F19" i="131"/>
  <c r="F18" i="131"/>
  <c r="G18" i="131" s="1"/>
  <c r="F17" i="131"/>
  <c r="G17" i="131" s="1"/>
  <c r="F16" i="131"/>
  <c r="F15" i="131"/>
  <c r="G15" i="131" s="1"/>
  <c r="F14" i="131"/>
  <c r="G14" i="131" s="1"/>
  <c r="F13" i="131"/>
  <c r="G13" i="131" s="1"/>
  <c r="F12" i="131"/>
  <c r="G12" i="131" s="1"/>
  <c r="F11" i="131"/>
  <c r="F10" i="131"/>
  <c r="G10" i="131" s="1"/>
  <c r="F9" i="131"/>
  <c r="G9" i="131" s="1"/>
  <c r="F8" i="131"/>
  <c r="F75" i="125"/>
  <c r="G75" i="125" s="1"/>
  <c r="F74" i="125"/>
  <c r="G74" i="125" s="1"/>
  <c r="F73" i="125"/>
  <c r="G73" i="125" s="1"/>
  <c r="F72" i="125"/>
  <c r="G72" i="125" s="1"/>
  <c r="F71" i="125"/>
  <c r="F70" i="125"/>
  <c r="G70" i="125" s="1"/>
  <c r="F69" i="125"/>
  <c r="G69" i="125" s="1"/>
  <c r="F68" i="125"/>
  <c r="F67" i="125"/>
  <c r="G67" i="125" s="1"/>
  <c r="F66" i="125"/>
  <c r="G66" i="125" s="1"/>
  <c r="F65" i="125"/>
  <c r="F64" i="125"/>
  <c r="G64" i="125" s="1"/>
  <c r="F63" i="125"/>
  <c r="F62" i="125"/>
  <c r="G62" i="125" s="1"/>
  <c r="F61" i="125"/>
  <c r="G61" i="125" s="1"/>
  <c r="F60" i="125"/>
  <c r="G60" i="125" s="1"/>
  <c r="F59" i="125"/>
  <c r="F58" i="125"/>
  <c r="G58" i="125" s="1"/>
  <c r="F57" i="125"/>
  <c r="F56" i="125"/>
  <c r="F55" i="125"/>
  <c r="F54" i="125"/>
  <c r="G54" i="125" s="1"/>
  <c r="F53" i="125"/>
  <c r="G53" i="125" s="1"/>
  <c r="F52" i="125"/>
  <c r="F51" i="125"/>
  <c r="G51" i="125" s="1"/>
  <c r="F50" i="125"/>
  <c r="G50" i="125" s="1"/>
  <c r="F49" i="125"/>
  <c r="F48" i="125"/>
  <c r="F47" i="125"/>
  <c r="G47" i="125" s="1"/>
  <c r="F46" i="125"/>
  <c r="G46" i="125" s="1"/>
  <c r="F44" i="125"/>
  <c r="G44" i="125" s="1"/>
  <c r="F43" i="125"/>
  <c r="F41" i="125"/>
  <c r="F40" i="125"/>
  <c r="G40" i="125" s="1"/>
  <c r="F39" i="125"/>
  <c r="G39" i="125" s="1"/>
  <c r="F38" i="125"/>
  <c r="F37" i="125"/>
  <c r="F36" i="125"/>
  <c r="G36" i="125" s="1"/>
  <c r="F35" i="125"/>
  <c r="G35" i="125" s="1"/>
  <c r="F34" i="125"/>
  <c r="F33" i="125"/>
  <c r="F32" i="125"/>
  <c r="G32" i="125" s="1"/>
  <c r="F31" i="125"/>
  <c r="F30" i="125"/>
  <c r="F29" i="125"/>
  <c r="G29" i="125" s="1"/>
  <c r="F28" i="125"/>
  <c r="G28" i="125" s="1"/>
  <c r="F27" i="125"/>
  <c r="G27" i="125" s="1"/>
  <c r="F26" i="125"/>
  <c r="F25" i="125"/>
  <c r="G25" i="125" s="1"/>
  <c r="F24" i="125"/>
  <c r="G24" i="125" s="1"/>
  <c r="F22" i="125"/>
  <c r="F21" i="125"/>
  <c r="F20" i="125"/>
  <c r="F19" i="125"/>
  <c r="G19" i="125" s="1"/>
  <c r="F18" i="125"/>
  <c r="G18" i="125" s="1"/>
  <c r="F17" i="125"/>
  <c r="F16" i="125"/>
  <c r="G16" i="125" s="1"/>
  <c r="F15" i="125"/>
  <c r="G15" i="125" s="1"/>
  <c r="F14" i="125"/>
  <c r="G14" i="125" s="1"/>
  <c r="F13" i="125"/>
  <c r="F12" i="125"/>
  <c r="G12" i="125" s="1"/>
  <c r="F11" i="125"/>
  <c r="G11" i="125" s="1"/>
  <c r="F10" i="125"/>
  <c r="G10" i="125" s="1"/>
  <c r="F9" i="125"/>
  <c r="F8" i="125"/>
  <c r="G8" i="125" s="1"/>
  <c r="F7" i="126"/>
  <c r="G7" i="126" s="1"/>
  <c r="F7" i="127"/>
  <c r="F7" i="128"/>
  <c r="G7" i="128" s="1"/>
  <c r="F7" i="129"/>
  <c r="G7" i="129" s="1"/>
  <c r="F7" i="131"/>
  <c r="G7" i="131" s="1"/>
  <c r="F7" i="125"/>
  <c r="R76" i="131"/>
  <c r="K76" i="131"/>
  <c r="F76" i="131"/>
  <c r="O75" i="131"/>
  <c r="S74" i="100" s="1"/>
  <c r="O73" i="131"/>
  <c r="S72" i="100" s="1"/>
  <c r="O71" i="131"/>
  <c r="S70" i="100" s="1"/>
  <c r="O69" i="131"/>
  <c r="S68" i="100" s="1"/>
  <c r="G69" i="131"/>
  <c r="O67" i="131"/>
  <c r="S66" i="100" s="1"/>
  <c r="O65" i="131"/>
  <c r="S64" i="100" s="1"/>
  <c r="S62" i="100"/>
  <c r="O61" i="131"/>
  <c r="S60" i="100" s="1"/>
  <c r="G58" i="131"/>
  <c r="O57" i="131"/>
  <c r="P57" i="131" s="1"/>
  <c r="AP56" i="72" s="1"/>
  <c r="O55" i="131"/>
  <c r="P55" i="131" s="1"/>
  <c r="AP54" i="72" s="1"/>
  <c r="G55" i="131"/>
  <c r="O53" i="131"/>
  <c r="P53" i="131" s="1"/>
  <c r="O51" i="131"/>
  <c r="S50" i="100" s="1"/>
  <c r="G51" i="131"/>
  <c r="O49" i="131"/>
  <c r="P49" i="131" s="1"/>
  <c r="AP48" i="72" s="1"/>
  <c r="G46" i="131"/>
  <c r="O45" i="131"/>
  <c r="G43" i="131"/>
  <c r="O41" i="131"/>
  <c r="G41" i="131"/>
  <c r="O37" i="131"/>
  <c r="S36" i="100" s="1"/>
  <c r="O33" i="131"/>
  <c r="S32" i="100" s="1"/>
  <c r="O29" i="131"/>
  <c r="S28" i="100" s="1"/>
  <c r="O21" i="131"/>
  <c r="P21" i="131" s="1"/>
  <c r="AP20" i="72" s="1"/>
  <c r="O19" i="131"/>
  <c r="S18" i="100" s="1"/>
  <c r="O17" i="131"/>
  <c r="S16" i="100" s="1"/>
  <c r="G16" i="131"/>
  <c r="G11" i="131"/>
  <c r="O9" i="131"/>
  <c r="S8" i="100" s="1"/>
  <c r="C76" i="131"/>
  <c r="D5" i="131"/>
  <c r="E5" i="131"/>
  <c r="F5" i="131"/>
  <c r="G5" i="131"/>
  <c r="H5" i="131"/>
  <c r="I5" i="131"/>
  <c r="J5" i="131"/>
  <c r="K5" i="131"/>
  <c r="L5" i="131"/>
  <c r="M5" i="131"/>
  <c r="N5" i="131"/>
  <c r="O5" i="131"/>
  <c r="P5" i="131"/>
  <c r="Q5" i="131"/>
  <c r="R5" i="131"/>
  <c r="S5" i="131"/>
  <c r="T5" i="131"/>
  <c r="U5" i="131"/>
  <c r="V5" i="131"/>
  <c r="R76" i="129"/>
  <c r="K76" i="129"/>
  <c r="F76" i="129"/>
  <c r="G75" i="129"/>
  <c r="G74" i="129"/>
  <c r="O73" i="129"/>
  <c r="R72" i="100" s="1"/>
  <c r="O69" i="129"/>
  <c r="R68" i="100" s="1"/>
  <c r="O67" i="129"/>
  <c r="O65" i="129"/>
  <c r="R64" i="100" s="1"/>
  <c r="O63" i="129"/>
  <c r="R62" i="100" s="1"/>
  <c r="O61" i="129"/>
  <c r="R60" i="100" s="1"/>
  <c r="O59" i="129"/>
  <c r="P59" i="129" s="1"/>
  <c r="O57" i="129"/>
  <c r="R56" i="100" s="1"/>
  <c r="G56" i="129"/>
  <c r="O55" i="129"/>
  <c r="R54" i="100" s="1"/>
  <c r="O53" i="129"/>
  <c r="P53" i="129" s="1"/>
  <c r="AO52" i="72" s="1"/>
  <c r="O51" i="129"/>
  <c r="P51" i="129" s="1"/>
  <c r="O49" i="129"/>
  <c r="R48" i="100" s="1"/>
  <c r="G49" i="129"/>
  <c r="O45" i="129"/>
  <c r="R44" i="100" s="1"/>
  <c r="G44" i="129"/>
  <c r="O41" i="129"/>
  <c r="P41" i="129" s="1"/>
  <c r="AO40" i="72" s="1"/>
  <c r="G39" i="129"/>
  <c r="O37" i="129"/>
  <c r="R36" i="100" s="1"/>
  <c r="O35" i="129"/>
  <c r="G35" i="129"/>
  <c r="G34" i="129"/>
  <c r="O33" i="129"/>
  <c r="P33" i="129" s="1"/>
  <c r="AO32" i="72" s="1"/>
  <c r="G31" i="129"/>
  <c r="G30" i="129"/>
  <c r="O29" i="129"/>
  <c r="O27" i="129"/>
  <c r="R26" i="100" s="1"/>
  <c r="O25" i="129"/>
  <c r="R24" i="100" s="1"/>
  <c r="O23" i="129"/>
  <c r="P23" i="129" s="1"/>
  <c r="O21" i="129"/>
  <c r="R20" i="100" s="1"/>
  <c r="R18" i="100"/>
  <c r="O17" i="129"/>
  <c r="R16" i="100" s="1"/>
  <c r="G14" i="129"/>
  <c r="O13" i="129"/>
  <c r="R12" i="100" s="1"/>
  <c r="O11" i="129"/>
  <c r="P11" i="129" s="1"/>
  <c r="AO10" i="72" s="1"/>
  <c r="O9" i="129"/>
  <c r="P9" i="129" s="1"/>
  <c r="G9" i="129"/>
  <c r="C76" i="129"/>
  <c r="D5" i="129"/>
  <c r="E5" i="129"/>
  <c r="F5" i="129"/>
  <c r="G5" i="129"/>
  <c r="H5" i="129"/>
  <c r="I5" i="129"/>
  <c r="J5" i="129"/>
  <c r="K5" i="129"/>
  <c r="L5" i="129"/>
  <c r="M5" i="129"/>
  <c r="N5" i="129"/>
  <c r="O5" i="129"/>
  <c r="P5" i="129"/>
  <c r="Q5" i="129"/>
  <c r="R5" i="129"/>
  <c r="S5" i="129"/>
  <c r="T5" i="129"/>
  <c r="U5" i="129"/>
  <c r="V5" i="129"/>
  <c r="R76" i="128"/>
  <c r="K76" i="128"/>
  <c r="F76" i="128"/>
  <c r="C76" i="128"/>
  <c r="G75" i="128"/>
  <c r="O73" i="128"/>
  <c r="Q72" i="100" s="1"/>
  <c r="G72" i="128"/>
  <c r="O70" i="128"/>
  <c r="Q69" i="100" s="1"/>
  <c r="O69" i="128"/>
  <c r="Q68" i="100" s="1"/>
  <c r="G68" i="128"/>
  <c r="O67" i="128"/>
  <c r="Q66" i="100" s="1"/>
  <c r="O65" i="128"/>
  <c r="Q62" i="100"/>
  <c r="O62" i="128"/>
  <c r="Q61" i="100" s="1"/>
  <c r="O61" i="128"/>
  <c r="Q60" i="100" s="1"/>
  <c r="O59" i="128"/>
  <c r="G59" i="128"/>
  <c r="O57" i="128"/>
  <c r="P57" i="128" s="1"/>
  <c r="AN56" i="72" s="1"/>
  <c r="G57" i="128"/>
  <c r="O54" i="128"/>
  <c r="O53" i="128"/>
  <c r="Q52" i="100" s="1"/>
  <c r="G52" i="128"/>
  <c r="O51" i="128"/>
  <c r="P51" i="128" s="1"/>
  <c r="AN50" i="72" s="1"/>
  <c r="G51" i="128"/>
  <c r="O49" i="128"/>
  <c r="P49" i="128" s="1"/>
  <c r="AN48" i="72" s="1"/>
  <c r="G48" i="128"/>
  <c r="O45" i="128"/>
  <c r="Q44" i="100" s="1"/>
  <c r="O41" i="128"/>
  <c r="O37" i="128"/>
  <c r="Q36" i="100" s="1"/>
  <c r="O34" i="128"/>
  <c r="Q33" i="100" s="1"/>
  <c r="O33" i="128"/>
  <c r="G33" i="128"/>
  <c r="Q30" i="100"/>
  <c r="O29" i="128"/>
  <c r="Q28" i="100" s="1"/>
  <c r="Q26" i="100"/>
  <c r="O25" i="128"/>
  <c r="Q24" i="100" s="1"/>
  <c r="G25" i="128"/>
  <c r="O23" i="128"/>
  <c r="O21" i="128"/>
  <c r="Q20" i="100" s="1"/>
  <c r="G20" i="128"/>
  <c r="O19" i="128"/>
  <c r="Q18" i="100" s="1"/>
  <c r="O17" i="128"/>
  <c r="Q16" i="100" s="1"/>
  <c r="G17" i="128"/>
  <c r="O13" i="128"/>
  <c r="Q12" i="100" s="1"/>
  <c r="G12" i="128"/>
  <c r="O10" i="128"/>
  <c r="O9" i="128"/>
  <c r="Q8" i="100" s="1"/>
  <c r="G9" i="128"/>
  <c r="O7" i="128"/>
  <c r="Q6" i="100" s="1"/>
  <c r="D5" i="128"/>
  <c r="E5" i="128"/>
  <c r="F5" i="128"/>
  <c r="G5" i="128"/>
  <c r="H5" i="128"/>
  <c r="I5" i="128"/>
  <c r="J5" i="128"/>
  <c r="K5" i="128"/>
  <c r="L5" i="128"/>
  <c r="M5" i="128"/>
  <c r="N5" i="128"/>
  <c r="O5" i="128"/>
  <c r="P5" i="128"/>
  <c r="Q5" i="128"/>
  <c r="R5" i="128"/>
  <c r="S5" i="128"/>
  <c r="T5" i="128"/>
  <c r="U5" i="128"/>
  <c r="V5" i="128"/>
  <c r="R76" i="127"/>
  <c r="K76" i="127"/>
  <c r="F76" i="127"/>
  <c r="O75" i="127"/>
  <c r="P74" i="100" s="1"/>
  <c r="O73" i="127"/>
  <c r="P72" i="100" s="1"/>
  <c r="O71" i="127"/>
  <c r="P70" i="100" s="1"/>
  <c r="O69" i="127"/>
  <c r="P68" i="100" s="1"/>
  <c r="O66" i="127"/>
  <c r="P65" i="100" s="1"/>
  <c r="O65" i="127"/>
  <c r="P64" i="100" s="1"/>
  <c r="O62" i="127"/>
  <c r="P61" i="100" s="1"/>
  <c r="O61" i="127"/>
  <c r="P60" i="100" s="1"/>
  <c r="G58" i="127"/>
  <c r="O57" i="127"/>
  <c r="O54" i="127"/>
  <c r="P54" i="127" s="1"/>
  <c r="AM53" i="72" s="1"/>
  <c r="O53" i="127"/>
  <c r="P52" i="100" s="1"/>
  <c r="G51" i="127"/>
  <c r="G50" i="127"/>
  <c r="O49" i="127"/>
  <c r="P49" i="127" s="1"/>
  <c r="AM48" i="72" s="1"/>
  <c r="O47" i="127"/>
  <c r="P46" i="100" s="1"/>
  <c r="O45" i="127"/>
  <c r="P44" i="100" s="1"/>
  <c r="O43" i="127"/>
  <c r="P42" i="100" s="1"/>
  <c r="O41" i="127"/>
  <c r="P40" i="100" s="1"/>
  <c r="O39" i="127"/>
  <c r="P38" i="100" s="1"/>
  <c r="O37" i="127"/>
  <c r="O35" i="127"/>
  <c r="O33" i="127"/>
  <c r="P32" i="100" s="1"/>
  <c r="O31" i="127"/>
  <c r="P30" i="100" s="1"/>
  <c r="O29" i="127"/>
  <c r="O27" i="127"/>
  <c r="P26" i="100" s="1"/>
  <c r="O25" i="127"/>
  <c r="P24" i="100" s="1"/>
  <c r="G25" i="127"/>
  <c r="O21" i="127"/>
  <c r="P21" i="127" s="1"/>
  <c r="AM20" i="72" s="1"/>
  <c r="G20" i="127"/>
  <c r="O19" i="127"/>
  <c r="P18" i="100" s="1"/>
  <c r="O17" i="127"/>
  <c r="G16" i="127"/>
  <c r="O15" i="127"/>
  <c r="P14" i="100" s="1"/>
  <c r="O13" i="127"/>
  <c r="P12" i="100" s="1"/>
  <c r="O11" i="127"/>
  <c r="O9" i="127"/>
  <c r="P8" i="100" s="1"/>
  <c r="G8" i="127"/>
  <c r="G7" i="127"/>
  <c r="D5" i="127"/>
  <c r="E5" i="127"/>
  <c r="F5" i="127"/>
  <c r="G5" i="127"/>
  <c r="H5" i="127"/>
  <c r="I5" i="127"/>
  <c r="J5" i="127"/>
  <c r="K5" i="127"/>
  <c r="L5" i="127"/>
  <c r="M5" i="127"/>
  <c r="N5" i="127"/>
  <c r="O5" i="127"/>
  <c r="P5" i="127"/>
  <c r="Q5" i="127"/>
  <c r="R5" i="127"/>
  <c r="S5" i="127"/>
  <c r="T5" i="127"/>
  <c r="U5" i="127"/>
  <c r="V5" i="127"/>
  <c r="R76" i="126"/>
  <c r="K76" i="126"/>
  <c r="F76" i="126"/>
  <c r="G74" i="126"/>
  <c r="O69" i="126"/>
  <c r="O68" i="100" s="1"/>
  <c r="G69" i="126"/>
  <c r="O67" i="126"/>
  <c r="O66" i="100" s="1"/>
  <c r="G66" i="126"/>
  <c r="O65" i="126"/>
  <c r="G65" i="126"/>
  <c r="G63" i="126"/>
  <c r="O61" i="126"/>
  <c r="P61" i="126" s="1"/>
  <c r="AL60" i="72" s="1"/>
  <c r="O59" i="126"/>
  <c r="P59" i="126" s="1"/>
  <c r="AL58" i="72" s="1"/>
  <c r="G59" i="126"/>
  <c r="O57" i="126"/>
  <c r="O56" i="100" s="1"/>
  <c r="G57" i="126"/>
  <c r="O55" i="126"/>
  <c r="P55" i="126" s="1"/>
  <c r="AL54" i="72" s="1"/>
  <c r="G54" i="126"/>
  <c r="O53" i="126"/>
  <c r="G50" i="126"/>
  <c r="O49" i="126"/>
  <c r="G49" i="126"/>
  <c r="O47" i="126"/>
  <c r="P47" i="126" s="1"/>
  <c r="O45" i="126"/>
  <c r="P45" i="126" s="1"/>
  <c r="AL44" i="72" s="1"/>
  <c r="G44" i="126"/>
  <c r="O43" i="126"/>
  <c r="O41" i="126"/>
  <c r="P41" i="126" s="1"/>
  <c r="AL40" i="72" s="1"/>
  <c r="G39" i="126"/>
  <c r="O37" i="126"/>
  <c r="O36" i="100" s="1"/>
  <c r="O35" i="126"/>
  <c r="O33" i="126"/>
  <c r="O32" i="100" s="1"/>
  <c r="G32" i="126"/>
  <c r="O23" i="126"/>
  <c r="P23" i="126" s="1"/>
  <c r="AL22" i="72" s="1"/>
  <c r="O21" i="126"/>
  <c r="O20" i="100" s="1"/>
  <c r="O19" i="126"/>
  <c r="P19" i="126" s="1"/>
  <c r="AL18" i="72" s="1"/>
  <c r="O17" i="126"/>
  <c r="O16" i="100" s="1"/>
  <c r="G14" i="126"/>
  <c r="O9" i="126"/>
  <c r="O8" i="100" s="1"/>
  <c r="O7" i="126"/>
  <c r="C76" i="126"/>
  <c r="D5" i="126"/>
  <c r="E5" i="126"/>
  <c r="F5" i="126"/>
  <c r="G5" i="126"/>
  <c r="H5" i="126"/>
  <c r="I5" i="126"/>
  <c r="J5" i="126"/>
  <c r="K5" i="126"/>
  <c r="L5" i="126"/>
  <c r="M5" i="126"/>
  <c r="N5" i="126"/>
  <c r="O5" i="126"/>
  <c r="P5" i="126"/>
  <c r="Q5" i="126"/>
  <c r="R5" i="126"/>
  <c r="S5" i="126"/>
  <c r="T5" i="126"/>
  <c r="U5" i="126"/>
  <c r="V5" i="126"/>
  <c r="R76" i="125"/>
  <c r="K76" i="125"/>
  <c r="F76" i="125"/>
  <c r="O75" i="125"/>
  <c r="N74" i="100" s="1"/>
  <c r="O74" i="125"/>
  <c r="N73" i="100" s="1"/>
  <c r="O73" i="125"/>
  <c r="O71" i="125"/>
  <c r="N70" i="100" s="1"/>
  <c r="G71" i="125"/>
  <c r="O69" i="125"/>
  <c r="P69" i="125" s="1"/>
  <c r="AK68" i="72" s="1"/>
  <c r="G68" i="125"/>
  <c r="O67" i="125"/>
  <c r="N66" i="100" s="1"/>
  <c r="O65" i="125"/>
  <c r="N64" i="100" s="1"/>
  <c r="G65" i="125"/>
  <c r="O63" i="125"/>
  <c r="N62" i="100" s="1"/>
  <c r="G63" i="125"/>
  <c r="O61" i="125"/>
  <c r="O59" i="125"/>
  <c r="G59" i="125"/>
  <c r="O57" i="125"/>
  <c r="G57" i="125"/>
  <c r="G56" i="125"/>
  <c r="O55" i="125"/>
  <c r="N54" i="100" s="1"/>
  <c r="G55" i="125"/>
  <c r="O53" i="125"/>
  <c r="P53" i="125" s="1"/>
  <c r="AK52" i="72" s="1"/>
  <c r="G52" i="125"/>
  <c r="O51" i="125"/>
  <c r="O49" i="125"/>
  <c r="N48" i="100" s="1"/>
  <c r="G49" i="125"/>
  <c r="G48" i="125"/>
  <c r="O47" i="125"/>
  <c r="N46" i="100" s="1"/>
  <c r="O46" i="125"/>
  <c r="O45" i="125"/>
  <c r="P45" i="125" s="1"/>
  <c r="AK44" i="72" s="1"/>
  <c r="G43" i="125"/>
  <c r="G41" i="125"/>
  <c r="G38" i="125"/>
  <c r="O37" i="125"/>
  <c r="N36" i="100" s="1"/>
  <c r="G37" i="125"/>
  <c r="O35" i="125"/>
  <c r="N34" i="100" s="1"/>
  <c r="O34" i="125"/>
  <c r="G34" i="125"/>
  <c r="O33" i="125"/>
  <c r="N32" i="100" s="1"/>
  <c r="G33" i="125"/>
  <c r="O31" i="125"/>
  <c r="N30" i="100" s="1"/>
  <c r="G31" i="125"/>
  <c r="O30" i="125"/>
  <c r="G30" i="125"/>
  <c r="O29" i="125"/>
  <c r="N28" i="100" s="1"/>
  <c r="O27" i="125"/>
  <c r="P27" i="125" s="1"/>
  <c r="Q27" i="125" s="1"/>
  <c r="S27" i="125" s="1"/>
  <c r="T27" i="125" s="1"/>
  <c r="O26" i="72" s="1"/>
  <c r="G26" i="125"/>
  <c r="O25" i="125"/>
  <c r="N24" i="100" s="1"/>
  <c r="O23" i="125"/>
  <c r="N22" i="100" s="1"/>
  <c r="G22" i="125"/>
  <c r="G21" i="125"/>
  <c r="G20" i="125"/>
  <c r="G17" i="125"/>
  <c r="O15" i="125"/>
  <c r="P15" i="125" s="1"/>
  <c r="AK14" i="72" s="1"/>
  <c r="O13" i="125"/>
  <c r="N12" i="100" s="1"/>
  <c r="G13" i="125"/>
  <c r="O11" i="125"/>
  <c r="O10" i="125"/>
  <c r="N9" i="100" s="1"/>
  <c r="O9" i="125"/>
  <c r="N8" i="100" s="1"/>
  <c r="G9" i="125"/>
  <c r="G7" i="125"/>
  <c r="D5" i="125"/>
  <c r="E5" i="125"/>
  <c r="F5" i="125"/>
  <c r="G5" i="125"/>
  <c r="H5" i="125"/>
  <c r="I5" i="125"/>
  <c r="J5" i="125"/>
  <c r="K5" i="125"/>
  <c r="L5" i="125"/>
  <c r="M5" i="125"/>
  <c r="N5" i="125"/>
  <c r="O5" i="125"/>
  <c r="P5" i="125"/>
  <c r="Q5" i="125"/>
  <c r="R5" i="125"/>
  <c r="S5" i="125"/>
  <c r="T5" i="125"/>
  <c r="U5" i="125"/>
  <c r="V5" i="125"/>
  <c r="P25" i="127"/>
  <c r="AM24" i="72" s="1"/>
  <c r="P37" i="129"/>
  <c r="AO36" i="72" s="1"/>
  <c r="R45" i="100"/>
  <c r="S56" i="100"/>
  <c r="P48" i="100"/>
  <c r="R49" i="100"/>
  <c r="O54" i="100"/>
  <c r="P51" i="127"/>
  <c r="AM50" i="72" s="1"/>
  <c r="P55" i="127"/>
  <c r="AM54" i="72" s="1"/>
  <c r="Q42" i="100"/>
  <c r="P49" i="129"/>
  <c r="AO48" i="72" s="1"/>
  <c r="R52" i="100"/>
  <c r="P50" i="131"/>
  <c r="Q50" i="131" s="1"/>
  <c r="S50" i="131" s="1"/>
  <c r="T50" i="131" s="1"/>
  <c r="T49" i="72" s="1"/>
  <c r="S53" i="100"/>
  <c r="P66" i="100"/>
  <c r="R40" i="100"/>
  <c r="P26" i="127"/>
  <c r="AM25" i="72" s="1"/>
  <c r="P39" i="129"/>
  <c r="AO38" i="72" s="1"/>
  <c r="R38" i="100"/>
  <c r="P47" i="129"/>
  <c r="AO46" i="72" s="1"/>
  <c r="R46" i="100"/>
  <c r="P47" i="131"/>
  <c r="AP46" i="72" s="1"/>
  <c r="S46" i="100"/>
  <c r="P15" i="128"/>
  <c r="AN14" i="72" s="1"/>
  <c r="O17" i="125"/>
  <c r="N16" i="100" s="1"/>
  <c r="O19" i="125"/>
  <c r="N18" i="100" s="1"/>
  <c r="O21" i="125"/>
  <c r="P37" i="125"/>
  <c r="O39" i="125"/>
  <c r="N38" i="100" s="1"/>
  <c r="O41" i="125"/>
  <c r="N40" i="100" s="1"/>
  <c r="O43" i="125"/>
  <c r="N42" i="100" s="1"/>
  <c r="P47" i="125"/>
  <c r="AK46" i="72" s="1"/>
  <c r="C76" i="125"/>
  <c r="O11" i="126"/>
  <c r="O10" i="100" s="1"/>
  <c r="O13" i="126"/>
  <c r="O12" i="100" s="1"/>
  <c r="O15" i="126"/>
  <c r="O14" i="100" s="1"/>
  <c r="G19" i="126"/>
  <c r="G20" i="126"/>
  <c r="O25" i="126"/>
  <c r="O26" i="126"/>
  <c r="O25" i="100" s="1"/>
  <c r="O27" i="126"/>
  <c r="O29" i="126"/>
  <c r="O28" i="100" s="1"/>
  <c r="O31" i="126"/>
  <c r="G33" i="126"/>
  <c r="G36" i="126"/>
  <c r="O39" i="126"/>
  <c r="O38" i="100" s="1"/>
  <c r="P10" i="128"/>
  <c r="P35" i="128"/>
  <c r="Q35" i="128" s="1"/>
  <c r="S35" i="128" s="1"/>
  <c r="T35" i="128" s="1"/>
  <c r="R34" i="72" s="1"/>
  <c r="P75" i="128"/>
  <c r="Q75" i="128" s="1"/>
  <c r="S75" i="128" s="1"/>
  <c r="T75" i="128" s="1"/>
  <c r="R74" i="72" s="1"/>
  <c r="O71" i="126"/>
  <c r="O70" i="100" s="1"/>
  <c r="O73" i="126"/>
  <c r="O72" i="100" s="1"/>
  <c r="O75" i="126"/>
  <c r="O74" i="100" s="1"/>
  <c r="G12" i="127"/>
  <c r="G13" i="127"/>
  <c r="G29" i="127"/>
  <c r="G33" i="127"/>
  <c r="G34" i="127"/>
  <c r="G36" i="127"/>
  <c r="G37" i="127"/>
  <c r="G41" i="127"/>
  <c r="G47" i="127"/>
  <c r="Q51" i="127"/>
  <c r="S51" i="127" s="1"/>
  <c r="T51" i="127" s="1"/>
  <c r="Q50" i="72" s="1"/>
  <c r="G62" i="127"/>
  <c r="G63" i="127"/>
  <c r="G71" i="127"/>
  <c r="G75" i="127"/>
  <c r="C76" i="127"/>
  <c r="P19" i="129"/>
  <c r="G17" i="129"/>
  <c r="G18" i="129"/>
  <c r="G22" i="129"/>
  <c r="G26" i="129"/>
  <c r="Q33" i="129"/>
  <c r="S33" i="129" s="1"/>
  <c r="T33" i="129" s="1"/>
  <c r="S32" i="72" s="1"/>
  <c r="G61" i="129"/>
  <c r="G65" i="129"/>
  <c r="G66" i="129"/>
  <c r="G73" i="129"/>
  <c r="P31" i="131"/>
  <c r="Q31" i="131" s="1"/>
  <c r="S31" i="131" s="1"/>
  <c r="T31" i="131" s="1"/>
  <c r="T30" i="72" s="1"/>
  <c r="O75" i="129"/>
  <c r="R74" i="100" s="1"/>
  <c r="G8" i="131"/>
  <c r="O10" i="131"/>
  <c r="S9" i="100" s="1"/>
  <c r="O11" i="131"/>
  <c r="S10" i="100" s="1"/>
  <c r="O13" i="131"/>
  <c r="S12" i="100" s="1"/>
  <c r="O15" i="131"/>
  <c r="S14" i="100" s="1"/>
  <c r="G19" i="131"/>
  <c r="G20" i="131"/>
  <c r="P23" i="131"/>
  <c r="Q23" i="131" s="1"/>
  <c r="S23" i="131" s="1"/>
  <c r="T23" i="131" s="1"/>
  <c r="T22" i="72" s="1"/>
  <c r="O25" i="131"/>
  <c r="S24" i="100" s="1"/>
  <c r="G29" i="131"/>
  <c r="G30" i="131"/>
  <c r="G33" i="131"/>
  <c r="G37" i="131"/>
  <c r="P39" i="131"/>
  <c r="AP38" i="72" s="1"/>
  <c r="P61" i="131"/>
  <c r="P63" i="131"/>
  <c r="Q63" i="131" s="1"/>
  <c r="S63" i="131" s="1"/>
  <c r="T63" i="131" s="1"/>
  <c r="T62" i="72" s="1"/>
  <c r="P71" i="131"/>
  <c r="P75" i="131"/>
  <c r="AP74" i="72" s="1"/>
  <c r="O7" i="131"/>
  <c r="G63" i="131"/>
  <c r="G66" i="131"/>
  <c r="G71" i="131"/>
  <c r="G72" i="131"/>
  <c r="G75" i="131"/>
  <c r="Q49" i="131"/>
  <c r="S49" i="131" s="1"/>
  <c r="T49" i="131" s="1"/>
  <c r="T48" i="72" s="1"/>
  <c r="Q61" i="126"/>
  <c r="S61" i="126" s="1"/>
  <c r="T61" i="126" s="1"/>
  <c r="P60" i="72" s="1"/>
  <c r="P11" i="131"/>
  <c r="Q11" i="131" s="1"/>
  <c r="S11" i="131" s="1"/>
  <c r="T11" i="131" s="1"/>
  <c r="T10" i="72" s="1"/>
  <c r="G20" i="31"/>
  <c r="G68" i="31"/>
  <c r="G67" i="31"/>
  <c r="G65" i="31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L20" i="31"/>
  <c r="N20" i="31" s="1"/>
  <c r="AI39" i="13"/>
  <c r="Q8" i="13"/>
  <c r="P41" i="2"/>
  <c r="F14" i="46"/>
  <c r="F13" i="46"/>
  <c r="P44" i="2"/>
  <c r="P22" i="2"/>
  <c r="F23" i="126" s="1"/>
  <c r="G23" i="126" s="1"/>
  <c r="F23" i="127"/>
  <c r="G23" i="127" s="1"/>
  <c r="F23" i="129"/>
  <c r="G23" i="129" s="1"/>
  <c r="F23" i="131"/>
  <c r="G23" i="131" s="1"/>
  <c r="F23" i="125"/>
  <c r="G23" i="125" s="1"/>
  <c r="F29" i="46"/>
  <c r="F28" i="46"/>
  <c r="F23" i="46"/>
  <c r="F10" i="46"/>
  <c r="F17" i="46"/>
  <c r="F16" i="46"/>
  <c r="F15" i="46"/>
  <c r="F12" i="46"/>
  <c r="F11" i="46"/>
  <c r="R76" i="120"/>
  <c r="K76" i="120"/>
  <c r="F75" i="120"/>
  <c r="G75" i="120" s="1"/>
  <c r="F74" i="120"/>
  <c r="F73" i="120"/>
  <c r="G73" i="120" s="1"/>
  <c r="F72" i="120"/>
  <c r="G72" i="120" s="1"/>
  <c r="F71" i="120"/>
  <c r="G71" i="120" s="1"/>
  <c r="F70" i="120"/>
  <c r="F69" i="120"/>
  <c r="G69" i="120" s="1"/>
  <c r="F68" i="120"/>
  <c r="G68" i="120" s="1"/>
  <c r="F67" i="120"/>
  <c r="G67" i="120" s="1"/>
  <c r="F66" i="120"/>
  <c r="F65" i="120"/>
  <c r="F64" i="120"/>
  <c r="G64" i="120" s="1"/>
  <c r="F63" i="120"/>
  <c r="F62" i="120"/>
  <c r="F61" i="120"/>
  <c r="G61" i="120" s="1"/>
  <c r="F60" i="120"/>
  <c r="G60" i="120" s="1"/>
  <c r="F59" i="120"/>
  <c r="G59" i="120" s="1"/>
  <c r="F58" i="120"/>
  <c r="G58" i="120"/>
  <c r="F57" i="120"/>
  <c r="G57" i="120" s="1"/>
  <c r="F56" i="120"/>
  <c r="G56" i="120" s="1"/>
  <c r="F55" i="120"/>
  <c r="G55" i="120" s="1"/>
  <c r="F54" i="120"/>
  <c r="G54" i="120" s="1"/>
  <c r="F53" i="120"/>
  <c r="G53" i="120" s="1"/>
  <c r="F52" i="120"/>
  <c r="G52" i="120"/>
  <c r="F51" i="120"/>
  <c r="G51" i="120" s="1"/>
  <c r="F50" i="120"/>
  <c r="G50" i="120" s="1"/>
  <c r="F49" i="120"/>
  <c r="G49" i="120" s="1"/>
  <c r="F48" i="120"/>
  <c r="G48" i="120" s="1"/>
  <c r="F47" i="120"/>
  <c r="G47" i="120" s="1"/>
  <c r="F46" i="120"/>
  <c r="G46" i="120" s="1"/>
  <c r="F45" i="120"/>
  <c r="G45" i="120" s="1"/>
  <c r="F44" i="120"/>
  <c r="G44" i="120" s="1"/>
  <c r="F43" i="120"/>
  <c r="G43" i="120" s="1"/>
  <c r="F42" i="120"/>
  <c r="G42" i="120" s="1"/>
  <c r="F41" i="120"/>
  <c r="G41" i="120" s="1"/>
  <c r="F40" i="120"/>
  <c r="G40" i="120" s="1"/>
  <c r="F39" i="120"/>
  <c r="G39" i="120" s="1"/>
  <c r="F38" i="120"/>
  <c r="F37" i="120"/>
  <c r="G37" i="120" s="1"/>
  <c r="F36" i="120"/>
  <c r="G36" i="120" s="1"/>
  <c r="F35" i="120"/>
  <c r="G35" i="120" s="1"/>
  <c r="F34" i="120"/>
  <c r="G34" i="120" s="1"/>
  <c r="F33" i="120"/>
  <c r="G33" i="120" s="1"/>
  <c r="F32" i="120"/>
  <c r="G32" i="120" s="1"/>
  <c r="F31" i="120"/>
  <c r="F30" i="120"/>
  <c r="F29" i="120"/>
  <c r="G29" i="120" s="1"/>
  <c r="F28" i="120"/>
  <c r="G28" i="120" s="1"/>
  <c r="F27" i="120"/>
  <c r="G27" i="120" s="1"/>
  <c r="F26" i="120"/>
  <c r="G26" i="120" s="1"/>
  <c r="F25" i="120"/>
  <c r="G25" i="120" s="1"/>
  <c r="F24" i="120"/>
  <c r="G24" i="120" s="1"/>
  <c r="F23" i="120"/>
  <c r="G23" i="120" s="1"/>
  <c r="F22" i="120"/>
  <c r="G22" i="120" s="1"/>
  <c r="F21" i="120"/>
  <c r="G21" i="120" s="1"/>
  <c r="F20" i="120"/>
  <c r="G20" i="120" s="1"/>
  <c r="F19" i="120"/>
  <c r="G19" i="120" s="1"/>
  <c r="F18" i="120"/>
  <c r="G18" i="120" s="1"/>
  <c r="F17" i="120"/>
  <c r="G17" i="120" s="1"/>
  <c r="F16" i="120"/>
  <c r="G16" i="120" s="1"/>
  <c r="F15" i="120"/>
  <c r="G15" i="120" s="1"/>
  <c r="F14" i="120"/>
  <c r="G14" i="120" s="1"/>
  <c r="F13" i="120"/>
  <c r="G13" i="120" s="1"/>
  <c r="F12" i="120"/>
  <c r="G12" i="120" s="1"/>
  <c r="F11" i="120"/>
  <c r="G11" i="120" s="1"/>
  <c r="F10" i="120"/>
  <c r="G10" i="120" s="1"/>
  <c r="F9" i="120"/>
  <c r="G9" i="120" s="1"/>
  <c r="F8" i="120"/>
  <c r="F7" i="120"/>
  <c r="G7" i="120" s="1"/>
  <c r="C76" i="120"/>
  <c r="D5" i="120"/>
  <c r="E5" i="120"/>
  <c r="F5" i="120"/>
  <c r="G5" i="120"/>
  <c r="H5" i="120"/>
  <c r="I5" i="120"/>
  <c r="J5" i="120"/>
  <c r="K5" i="120"/>
  <c r="L5" i="120"/>
  <c r="M5" i="120"/>
  <c r="N5" i="120"/>
  <c r="O5" i="120"/>
  <c r="P5" i="120"/>
  <c r="Q5" i="120"/>
  <c r="R5" i="120"/>
  <c r="S5" i="120"/>
  <c r="T5" i="120"/>
  <c r="U5" i="120"/>
  <c r="V5" i="120"/>
  <c r="R76" i="119"/>
  <c r="K76" i="119"/>
  <c r="F75" i="119"/>
  <c r="G75" i="119" s="1"/>
  <c r="F74" i="119"/>
  <c r="F73" i="119"/>
  <c r="G73" i="119" s="1"/>
  <c r="F72" i="119"/>
  <c r="F71" i="119"/>
  <c r="G71" i="119" s="1"/>
  <c r="F70" i="119"/>
  <c r="F69" i="119"/>
  <c r="G69" i="119" s="1"/>
  <c r="F68" i="119"/>
  <c r="G68" i="119" s="1"/>
  <c r="F67" i="119"/>
  <c r="G67" i="119" s="1"/>
  <c r="F66" i="119"/>
  <c r="G66" i="119" s="1"/>
  <c r="F65" i="119"/>
  <c r="G65" i="119" s="1"/>
  <c r="F64" i="119"/>
  <c r="G64" i="119" s="1"/>
  <c r="F63" i="119"/>
  <c r="G63" i="119" s="1"/>
  <c r="F62" i="119"/>
  <c r="G62" i="119" s="1"/>
  <c r="F61" i="119"/>
  <c r="G61" i="119" s="1"/>
  <c r="F60" i="119"/>
  <c r="G60" i="119" s="1"/>
  <c r="F59" i="119"/>
  <c r="G59" i="119" s="1"/>
  <c r="F58" i="119"/>
  <c r="G58" i="119" s="1"/>
  <c r="F57" i="119"/>
  <c r="G57" i="119" s="1"/>
  <c r="F56" i="119"/>
  <c r="G56" i="119" s="1"/>
  <c r="F55" i="119"/>
  <c r="F54" i="119"/>
  <c r="G54" i="119" s="1"/>
  <c r="F53" i="119"/>
  <c r="G53" i="119" s="1"/>
  <c r="F52" i="119"/>
  <c r="F51" i="119"/>
  <c r="G51" i="119" s="1"/>
  <c r="F50" i="119"/>
  <c r="G50" i="119" s="1"/>
  <c r="F49" i="119"/>
  <c r="G49" i="119" s="1"/>
  <c r="F48" i="119"/>
  <c r="G48" i="119" s="1"/>
  <c r="F47" i="119"/>
  <c r="G47" i="119" s="1"/>
  <c r="F46" i="119"/>
  <c r="G46" i="119" s="1"/>
  <c r="F45" i="119"/>
  <c r="G45" i="119" s="1"/>
  <c r="F44" i="119"/>
  <c r="F43" i="119"/>
  <c r="G43" i="119" s="1"/>
  <c r="F42" i="119"/>
  <c r="G42" i="119" s="1"/>
  <c r="F41" i="119"/>
  <c r="G41" i="119" s="1"/>
  <c r="F40" i="119"/>
  <c r="G40" i="119" s="1"/>
  <c r="F39" i="119"/>
  <c r="G39" i="119" s="1"/>
  <c r="F38" i="119"/>
  <c r="G38" i="119" s="1"/>
  <c r="F37" i="119"/>
  <c r="G37" i="119" s="1"/>
  <c r="F36" i="119"/>
  <c r="G36" i="119" s="1"/>
  <c r="F35" i="119"/>
  <c r="G35" i="119" s="1"/>
  <c r="F34" i="119"/>
  <c r="G34" i="119" s="1"/>
  <c r="F33" i="119"/>
  <c r="G33" i="119" s="1"/>
  <c r="F32" i="119"/>
  <c r="F31" i="119"/>
  <c r="G31" i="119" s="1"/>
  <c r="F30" i="119"/>
  <c r="G30" i="119" s="1"/>
  <c r="F29" i="119"/>
  <c r="F28" i="119"/>
  <c r="F27" i="119"/>
  <c r="G27" i="119" s="1"/>
  <c r="F26" i="119"/>
  <c r="G26" i="119" s="1"/>
  <c r="F25" i="119"/>
  <c r="G25" i="119" s="1"/>
  <c r="F24" i="119"/>
  <c r="F23" i="119"/>
  <c r="G23" i="119" s="1"/>
  <c r="F22" i="119"/>
  <c r="G22" i="119" s="1"/>
  <c r="F21" i="119"/>
  <c r="G21" i="119" s="1"/>
  <c r="F20" i="119"/>
  <c r="F19" i="119"/>
  <c r="G19" i="119" s="1"/>
  <c r="F18" i="119"/>
  <c r="G18" i="119" s="1"/>
  <c r="F17" i="119"/>
  <c r="G17" i="119" s="1"/>
  <c r="F16" i="119"/>
  <c r="F15" i="119"/>
  <c r="G15" i="119" s="1"/>
  <c r="F14" i="119"/>
  <c r="G14" i="119" s="1"/>
  <c r="F13" i="119"/>
  <c r="G13" i="119" s="1"/>
  <c r="F12" i="119"/>
  <c r="F11" i="119"/>
  <c r="G11" i="119" s="1"/>
  <c r="F10" i="119"/>
  <c r="G10" i="119" s="1"/>
  <c r="F9" i="119"/>
  <c r="G9" i="119" s="1"/>
  <c r="F8" i="119"/>
  <c r="F7" i="119"/>
  <c r="G7" i="119" s="1"/>
  <c r="D5" i="119"/>
  <c r="E5" i="119"/>
  <c r="F5" i="119"/>
  <c r="G5" i="119"/>
  <c r="H5" i="119"/>
  <c r="I5" i="119"/>
  <c r="J5" i="119"/>
  <c r="K5" i="119"/>
  <c r="L5" i="119"/>
  <c r="M5" i="119"/>
  <c r="N5" i="119"/>
  <c r="O5" i="119"/>
  <c r="P5" i="119"/>
  <c r="Q5" i="119"/>
  <c r="R5" i="119"/>
  <c r="S5" i="119"/>
  <c r="T5" i="119"/>
  <c r="U5" i="119"/>
  <c r="V5" i="119"/>
  <c r="R76" i="118"/>
  <c r="K76" i="118"/>
  <c r="F75" i="118"/>
  <c r="F74" i="118"/>
  <c r="F73" i="118"/>
  <c r="G73" i="118" s="1"/>
  <c r="F72" i="118"/>
  <c r="G72" i="118" s="1"/>
  <c r="F71" i="118"/>
  <c r="F70" i="118"/>
  <c r="F69" i="118"/>
  <c r="G69" i="118" s="1"/>
  <c r="F68" i="118"/>
  <c r="G68" i="118" s="1"/>
  <c r="F67" i="118"/>
  <c r="F66" i="118"/>
  <c r="F65" i="118"/>
  <c r="G65" i="118" s="1"/>
  <c r="F64" i="118"/>
  <c r="G64" i="118" s="1"/>
  <c r="F63" i="118"/>
  <c r="F62" i="118"/>
  <c r="F61" i="118"/>
  <c r="G61" i="118" s="1"/>
  <c r="F60" i="118"/>
  <c r="G60" i="118" s="1"/>
  <c r="F59" i="118"/>
  <c r="F58" i="118"/>
  <c r="F57" i="118"/>
  <c r="G57" i="118" s="1"/>
  <c r="F56" i="118"/>
  <c r="G56" i="118" s="1"/>
  <c r="F55" i="118"/>
  <c r="F54" i="118"/>
  <c r="F53" i="118"/>
  <c r="G53" i="118" s="1"/>
  <c r="F52" i="118"/>
  <c r="G52" i="118" s="1"/>
  <c r="F51" i="118"/>
  <c r="F50" i="118"/>
  <c r="G50" i="118" s="1"/>
  <c r="F49" i="118"/>
  <c r="G49" i="118" s="1"/>
  <c r="F48" i="118"/>
  <c r="G48" i="118" s="1"/>
  <c r="F47" i="118"/>
  <c r="F46" i="118"/>
  <c r="F45" i="118"/>
  <c r="G45" i="118" s="1"/>
  <c r="F44" i="118"/>
  <c r="F43" i="118"/>
  <c r="F42" i="118"/>
  <c r="G42" i="118" s="1"/>
  <c r="F41" i="118"/>
  <c r="G41" i="118" s="1"/>
  <c r="F40" i="118"/>
  <c r="G40" i="118" s="1"/>
  <c r="F39" i="118"/>
  <c r="G39" i="118"/>
  <c r="F38" i="118"/>
  <c r="G38" i="118" s="1"/>
  <c r="F37" i="118"/>
  <c r="G37" i="118" s="1"/>
  <c r="F36" i="118"/>
  <c r="G36" i="118" s="1"/>
  <c r="F35" i="118"/>
  <c r="G35" i="118"/>
  <c r="F34" i="118"/>
  <c r="G34" i="118" s="1"/>
  <c r="F33" i="118"/>
  <c r="F32" i="118"/>
  <c r="G32" i="118"/>
  <c r="F31" i="118"/>
  <c r="G31" i="118" s="1"/>
  <c r="F30" i="118"/>
  <c r="G30" i="118"/>
  <c r="F29" i="118"/>
  <c r="G29" i="118" s="1"/>
  <c r="F28" i="118"/>
  <c r="G28" i="118" s="1"/>
  <c r="F27" i="118"/>
  <c r="G27" i="118" s="1"/>
  <c r="F26" i="118"/>
  <c r="G26" i="118" s="1"/>
  <c r="F25" i="118"/>
  <c r="F24" i="118"/>
  <c r="G24" i="118" s="1"/>
  <c r="F23" i="118"/>
  <c r="G23" i="118"/>
  <c r="F22" i="118"/>
  <c r="G22" i="118" s="1"/>
  <c r="F21" i="118"/>
  <c r="G21" i="118" s="1"/>
  <c r="F20" i="118"/>
  <c r="G20" i="118" s="1"/>
  <c r="F19" i="118"/>
  <c r="G19" i="118" s="1"/>
  <c r="F18" i="118"/>
  <c r="G18" i="118" s="1"/>
  <c r="F17" i="118"/>
  <c r="G17" i="118" s="1"/>
  <c r="F16" i="118"/>
  <c r="G16" i="118" s="1"/>
  <c r="F15" i="118"/>
  <c r="G15" i="118" s="1"/>
  <c r="F14" i="118"/>
  <c r="G14" i="118" s="1"/>
  <c r="F13" i="118"/>
  <c r="G13" i="118" s="1"/>
  <c r="F12" i="118"/>
  <c r="G12" i="118"/>
  <c r="F11" i="118"/>
  <c r="G11" i="118" s="1"/>
  <c r="F10" i="118"/>
  <c r="G10" i="118" s="1"/>
  <c r="F9" i="118"/>
  <c r="F8" i="118"/>
  <c r="G8" i="118" s="1"/>
  <c r="F7" i="118"/>
  <c r="D5" i="118"/>
  <c r="E5" i="118"/>
  <c r="F5" i="118"/>
  <c r="G5" i="118"/>
  <c r="H5" i="118"/>
  <c r="I5" i="118"/>
  <c r="J5" i="118"/>
  <c r="K5" i="118"/>
  <c r="L5" i="118"/>
  <c r="M5" i="118"/>
  <c r="N5" i="118"/>
  <c r="O5" i="118"/>
  <c r="P5" i="118"/>
  <c r="Q5" i="118"/>
  <c r="R5" i="118"/>
  <c r="S5" i="118"/>
  <c r="T5" i="118"/>
  <c r="U5" i="118"/>
  <c r="V5" i="118"/>
  <c r="C76" i="117"/>
  <c r="F75" i="117"/>
  <c r="F74" i="117"/>
  <c r="G74" i="117" s="1"/>
  <c r="F73" i="117"/>
  <c r="F72" i="117"/>
  <c r="G72" i="117" s="1"/>
  <c r="F71" i="117"/>
  <c r="F70" i="117"/>
  <c r="G70" i="117" s="1"/>
  <c r="F69" i="117"/>
  <c r="G69" i="117" s="1"/>
  <c r="F68" i="117"/>
  <c r="F67" i="117"/>
  <c r="G67" i="117" s="1"/>
  <c r="F66" i="117"/>
  <c r="G66" i="117" s="1"/>
  <c r="F65" i="117"/>
  <c r="G65" i="117" s="1"/>
  <c r="F64" i="117"/>
  <c r="G64" i="117" s="1"/>
  <c r="F63" i="117"/>
  <c r="G63" i="117" s="1"/>
  <c r="F62" i="117"/>
  <c r="G62" i="117" s="1"/>
  <c r="F61" i="117"/>
  <c r="G61" i="117" s="1"/>
  <c r="F60" i="117"/>
  <c r="F59" i="117"/>
  <c r="F58" i="117"/>
  <c r="G58" i="117" s="1"/>
  <c r="F57" i="117"/>
  <c r="G57" i="117" s="1"/>
  <c r="F56" i="117"/>
  <c r="G56" i="117" s="1"/>
  <c r="F55" i="117"/>
  <c r="F54" i="117"/>
  <c r="G54" i="117" s="1"/>
  <c r="F53" i="117"/>
  <c r="G53" i="117" s="1"/>
  <c r="F52" i="117"/>
  <c r="G52" i="117" s="1"/>
  <c r="F51" i="117"/>
  <c r="G51" i="117" s="1"/>
  <c r="F50" i="117"/>
  <c r="G50" i="117" s="1"/>
  <c r="F49" i="117"/>
  <c r="G49" i="117" s="1"/>
  <c r="F48" i="117"/>
  <c r="F47" i="117"/>
  <c r="G47" i="117" s="1"/>
  <c r="F46" i="117"/>
  <c r="G46" i="117" s="1"/>
  <c r="F45" i="117"/>
  <c r="F44" i="117"/>
  <c r="G44" i="117" s="1"/>
  <c r="F43" i="117"/>
  <c r="F42" i="117"/>
  <c r="G42" i="117" s="1"/>
  <c r="F41" i="117"/>
  <c r="G41" i="117" s="1"/>
  <c r="F40" i="117"/>
  <c r="F39" i="117"/>
  <c r="G39" i="117"/>
  <c r="F38" i="117"/>
  <c r="G38" i="117" s="1"/>
  <c r="F37" i="117"/>
  <c r="G37" i="117" s="1"/>
  <c r="F36" i="117"/>
  <c r="G36" i="117" s="1"/>
  <c r="F35" i="117"/>
  <c r="G35" i="117" s="1"/>
  <c r="F34" i="117"/>
  <c r="G34" i="117" s="1"/>
  <c r="F33" i="117"/>
  <c r="G33" i="117" s="1"/>
  <c r="F32" i="117"/>
  <c r="G32" i="117" s="1"/>
  <c r="F31" i="117"/>
  <c r="G31" i="117" s="1"/>
  <c r="F30" i="117"/>
  <c r="F29" i="117"/>
  <c r="G29" i="117" s="1"/>
  <c r="F28" i="117"/>
  <c r="F27" i="117"/>
  <c r="G27" i="117" s="1"/>
  <c r="F26" i="117"/>
  <c r="G26" i="117" s="1"/>
  <c r="F25" i="117"/>
  <c r="G25" i="117" s="1"/>
  <c r="F24" i="117"/>
  <c r="T76" i="117"/>
  <c r="K76" i="117"/>
  <c r="F23" i="117"/>
  <c r="G23" i="117" s="1"/>
  <c r="F22" i="117"/>
  <c r="F21" i="117"/>
  <c r="G21" i="117" s="1"/>
  <c r="F20" i="117"/>
  <c r="G20" i="117" s="1"/>
  <c r="F19" i="117"/>
  <c r="G19" i="117" s="1"/>
  <c r="F18" i="117"/>
  <c r="F17" i="117"/>
  <c r="G17" i="117" s="1"/>
  <c r="F16" i="117"/>
  <c r="G16" i="117" s="1"/>
  <c r="F15" i="117"/>
  <c r="G15" i="117" s="1"/>
  <c r="F14" i="117"/>
  <c r="G14" i="117" s="1"/>
  <c r="F13" i="117"/>
  <c r="G13" i="117" s="1"/>
  <c r="F12" i="117"/>
  <c r="F11" i="117"/>
  <c r="G11" i="117" s="1"/>
  <c r="F10" i="117"/>
  <c r="G10" i="117" s="1"/>
  <c r="F9" i="117"/>
  <c r="F8" i="117"/>
  <c r="G8" i="117" s="1"/>
  <c r="F7" i="117"/>
  <c r="G7" i="117" s="1"/>
  <c r="D5" i="117"/>
  <c r="E5" i="117"/>
  <c r="F5" i="117" s="1"/>
  <c r="G5" i="117" s="1"/>
  <c r="H5" i="117" s="1"/>
  <c r="I5" i="117" s="1"/>
  <c r="J5" i="117" s="1"/>
  <c r="K5" i="117" s="1"/>
  <c r="L5" i="117" s="1"/>
  <c r="M5" i="117" s="1"/>
  <c r="C76" i="116"/>
  <c r="F75" i="116"/>
  <c r="G75" i="116" s="1"/>
  <c r="F74" i="116"/>
  <c r="F73" i="116"/>
  <c r="G73" i="116" s="1"/>
  <c r="F72" i="116"/>
  <c r="G72" i="116" s="1"/>
  <c r="F71" i="116"/>
  <c r="G71" i="116" s="1"/>
  <c r="F70" i="116"/>
  <c r="G70" i="116" s="1"/>
  <c r="F69" i="116"/>
  <c r="G69" i="116" s="1"/>
  <c r="F68" i="116"/>
  <c r="G68" i="116" s="1"/>
  <c r="F67" i="116"/>
  <c r="G67" i="116" s="1"/>
  <c r="F66" i="116"/>
  <c r="G66" i="116" s="1"/>
  <c r="F65" i="116"/>
  <c r="G65" i="116" s="1"/>
  <c r="F64" i="116"/>
  <c r="G64" i="116" s="1"/>
  <c r="F63" i="116"/>
  <c r="G63" i="116" s="1"/>
  <c r="F62" i="116"/>
  <c r="F61" i="116"/>
  <c r="G61" i="116" s="1"/>
  <c r="F60" i="116"/>
  <c r="G60" i="116" s="1"/>
  <c r="F59" i="116"/>
  <c r="G59" i="116" s="1"/>
  <c r="F58" i="116"/>
  <c r="G58" i="116" s="1"/>
  <c r="F57" i="116"/>
  <c r="G57" i="116" s="1"/>
  <c r="F56" i="116"/>
  <c r="G56" i="116" s="1"/>
  <c r="F55" i="116"/>
  <c r="G55" i="116" s="1"/>
  <c r="F54" i="116"/>
  <c r="G54" i="116" s="1"/>
  <c r="F53" i="116"/>
  <c r="G53" i="116" s="1"/>
  <c r="F52" i="116"/>
  <c r="F51" i="116"/>
  <c r="G51" i="116" s="1"/>
  <c r="F50" i="116"/>
  <c r="G50" i="116" s="1"/>
  <c r="F49" i="116"/>
  <c r="G49" i="116" s="1"/>
  <c r="F48" i="116"/>
  <c r="G48" i="116" s="1"/>
  <c r="F47" i="116"/>
  <c r="G47" i="116" s="1"/>
  <c r="F46" i="116"/>
  <c r="G46" i="116" s="1"/>
  <c r="F45" i="116"/>
  <c r="G45" i="116" s="1"/>
  <c r="F44" i="116"/>
  <c r="F43" i="116"/>
  <c r="G43" i="116" s="1"/>
  <c r="F42" i="116"/>
  <c r="G42" i="116" s="1"/>
  <c r="F41" i="116"/>
  <c r="G41" i="116" s="1"/>
  <c r="F40" i="116"/>
  <c r="G40" i="116" s="1"/>
  <c r="F39" i="116"/>
  <c r="G39" i="116" s="1"/>
  <c r="F38" i="116"/>
  <c r="G38" i="116" s="1"/>
  <c r="F37" i="116"/>
  <c r="G37" i="116" s="1"/>
  <c r="F36" i="116"/>
  <c r="G36" i="116" s="1"/>
  <c r="F35" i="116"/>
  <c r="F34" i="116"/>
  <c r="F33" i="116"/>
  <c r="G33" i="116" s="1"/>
  <c r="F32" i="116"/>
  <c r="G32" i="116" s="1"/>
  <c r="F31" i="116"/>
  <c r="F30" i="116"/>
  <c r="F29" i="116"/>
  <c r="G29" i="116" s="1"/>
  <c r="F28" i="116"/>
  <c r="G28" i="116" s="1"/>
  <c r="F27" i="116"/>
  <c r="F26" i="116"/>
  <c r="F25" i="116"/>
  <c r="G25" i="116" s="1"/>
  <c r="F24" i="116"/>
  <c r="G24" i="116" s="1"/>
  <c r="F23" i="116"/>
  <c r="F22" i="116"/>
  <c r="F21" i="116"/>
  <c r="G21" i="116" s="1"/>
  <c r="F20" i="116"/>
  <c r="G20" i="116" s="1"/>
  <c r="F19" i="116"/>
  <c r="F18" i="116"/>
  <c r="F17" i="116"/>
  <c r="G17" i="116" s="1"/>
  <c r="F16" i="116"/>
  <c r="G16" i="116" s="1"/>
  <c r="F15" i="116"/>
  <c r="F14" i="116"/>
  <c r="F13" i="116"/>
  <c r="G13" i="116" s="1"/>
  <c r="F12" i="116"/>
  <c r="G12" i="116" s="1"/>
  <c r="F11" i="116"/>
  <c r="F10" i="116"/>
  <c r="F9" i="116"/>
  <c r="G9" i="116" s="1"/>
  <c r="F8" i="116"/>
  <c r="G8" i="116" s="1"/>
  <c r="F7" i="116"/>
  <c r="D5" i="116"/>
  <c r="E5" i="116"/>
  <c r="F5" i="116"/>
  <c r="G5" i="116"/>
  <c r="H5" i="116"/>
  <c r="I5" i="116"/>
  <c r="J5" i="116"/>
  <c r="K5" i="116"/>
  <c r="L5" i="116"/>
  <c r="M5" i="116"/>
  <c r="N5" i="116"/>
  <c r="O5" i="116"/>
  <c r="P5" i="116"/>
  <c r="Q5" i="116"/>
  <c r="R5" i="116"/>
  <c r="S5" i="116"/>
  <c r="T5" i="116"/>
  <c r="U5" i="116"/>
  <c r="V5" i="116"/>
  <c r="K76" i="115"/>
  <c r="F75" i="115"/>
  <c r="G75" i="115" s="1"/>
  <c r="F74" i="115"/>
  <c r="G74" i="115" s="1"/>
  <c r="F73" i="115"/>
  <c r="G73" i="115" s="1"/>
  <c r="F72" i="115"/>
  <c r="G72" i="115"/>
  <c r="F71" i="115"/>
  <c r="G71" i="115" s="1"/>
  <c r="F70" i="115"/>
  <c r="G70" i="115" s="1"/>
  <c r="F69" i="115"/>
  <c r="G69" i="115"/>
  <c r="F68" i="115"/>
  <c r="G68" i="115" s="1"/>
  <c r="F67" i="115"/>
  <c r="G67" i="115" s="1"/>
  <c r="F66" i="115"/>
  <c r="G66" i="115" s="1"/>
  <c r="F65" i="115"/>
  <c r="G65" i="115" s="1"/>
  <c r="F64" i="115"/>
  <c r="G64" i="115" s="1"/>
  <c r="F63" i="115"/>
  <c r="G63" i="115" s="1"/>
  <c r="F62" i="115"/>
  <c r="G62" i="115" s="1"/>
  <c r="F61" i="115"/>
  <c r="G61" i="115" s="1"/>
  <c r="F60" i="115"/>
  <c r="G60" i="115" s="1"/>
  <c r="F59" i="115"/>
  <c r="F58" i="115"/>
  <c r="G58" i="115"/>
  <c r="F57" i="115"/>
  <c r="G57" i="115" s="1"/>
  <c r="F56" i="115"/>
  <c r="G56" i="115" s="1"/>
  <c r="F55" i="115"/>
  <c r="G55" i="115" s="1"/>
  <c r="F54" i="115"/>
  <c r="G54" i="115" s="1"/>
  <c r="F53" i="115"/>
  <c r="G53" i="115" s="1"/>
  <c r="F52" i="115"/>
  <c r="G52" i="115"/>
  <c r="F51" i="115"/>
  <c r="G51" i="115" s="1"/>
  <c r="F50" i="115"/>
  <c r="F49" i="115"/>
  <c r="G49" i="115" s="1"/>
  <c r="F48" i="115"/>
  <c r="G48" i="115" s="1"/>
  <c r="F47" i="115"/>
  <c r="G47" i="115" s="1"/>
  <c r="F46" i="115"/>
  <c r="F45" i="115"/>
  <c r="F44" i="115"/>
  <c r="G44" i="115" s="1"/>
  <c r="F43" i="115"/>
  <c r="G43" i="115" s="1"/>
  <c r="F42" i="115"/>
  <c r="F41" i="115"/>
  <c r="F40" i="115"/>
  <c r="G40" i="115" s="1"/>
  <c r="F39" i="115"/>
  <c r="G39" i="115" s="1"/>
  <c r="F38" i="115"/>
  <c r="G38" i="115"/>
  <c r="F37" i="115"/>
  <c r="G37" i="115" s="1"/>
  <c r="F36" i="115"/>
  <c r="G36" i="115" s="1"/>
  <c r="F35" i="115"/>
  <c r="G35" i="115" s="1"/>
  <c r="F34" i="115"/>
  <c r="G34" i="115" s="1"/>
  <c r="F33" i="115"/>
  <c r="G33" i="115" s="1"/>
  <c r="F32" i="115"/>
  <c r="G32" i="115" s="1"/>
  <c r="F31" i="115"/>
  <c r="F30" i="115"/>
  <c r="G30" i="115" s="1"/>
  <c r="F29" i="115"/>
  <c r="G29" i="115" s="1"/>
  <c r="F28" i="115"/>
  <c r="G28" i="115" s="1"/>
  <c r="F27" i="115"/>
  <c r="G27" i="115" s="1"/>
  <c r="F26" i="115"/>
  <c r="G26" i="115" s="1"/>
  <c r="F25" i="115"/>
  <c r="G25" i="115"/>
  <c r="F24" i="115"/>
  <c r="G24" i="115" s="1"/>
  <c r="R76" i="115"/>
  <c r="F23" i="115"/>
  <c r="F22" i="115"/>
  <c r="G22" i="115" s="1"/>
  <c r="F21" i="115"/>
  <c r="G21" i="115"/>
  <c r="F20" i="115"/>
  <c r="G20" i="115" s="1"/>
  <c r="F19" i="115"/>
  <c r="G19" i="115" s="1"/>
  <c r="F18" i="115"/>
  <c r="G18" i="115" s="1"/>
  <c r="F17" i="115"/>
  <c r="G17" i="115" s="1"/>
  <c r="F16" i="115"/>
  <c r="G16" i="115" s="1"/>
  <c r="F15" i="115"/>
  <c r="G15" i="115"/>
  <c r="F14" i="115"/>
  <c r="G14" i="115" s="1"/>
  <c r="F13" i="115"/>
  <c r="G13" i="115" s="1"/>
  <c r="F12" i="115"/>
  <c r="G12" i="115" s="1"/>
  <c r="F11" i="115"/>
  <c r="G11" i="115" s="1"/>
  <c r="F10" i="115"/>
  <c r="G10" i="115" s="1"/>
  <c r="F9" i="115"/>
  <c r="G9" i="115" s="1"/>
  <c r="F8" i="115"/>
  <c r="G8" i="115"/>
  <c r="F7" i="115"/>
  <c r="G7" i="115" s="1"/>
  <c r="D5" i="115"/>
  <c r="E5" i="115"/>
  <c r="F5" i="115"/>
  <c r="G5" i="115"/>
  <c r="H5" i="115"/>
  <c r="I5" i="115"/>
  <c r="J5" i="115"/>
  <c r="K5" i="115"/>
  <c r="L5" i="115"/>
  <c r="M5" i="115"/>
  <c r="N5" i="115"/>
  <c r="O5" i="115"/>
  <c r="P5" i="115"/>
  <c r="Q5" i="115"/>
  <c r="R5" i="115"/>
  <c r="S5" i="115"/>
  <c r="T5" i="115"/>
  <c r="U5" i="115"/>
  <c r="V5" i="115"/>
  <c r="K77" i="114"/>
  <c r="R77" i="114"/>
  <c r="F76" i="114"/>
  <c r="G76" i="114"/>
  <c r="F75" i="114"/>
  <c r="G75" i="114" s="1"/>
  <c r="F74" i="114"/>
  <c r="F73" i="114"/>
  <c r="G73" i="114" s="1"/>
  <c r="F72" i="114"/>
  <c r="G72" i="114" s="1"/>
  <c r="F71" i="114"/>
  <c r="G71" i="114" s="1"/>
  <c r="F70" i="114"/>
  <c r="F69" i="114"/>
  <c r="F68" i="114"/>
  <c r="G68" i="114" s="1"/>
  <c r="F67" i="114"/>
  <c r="G67" i="114" s="1"/>
  <c r="F66" i="114"/>
  <c r="F65" i="114"/>
  <c r="G65" i="114" s="1"/>
  <c r="F64" i="114"/>
  <c r="G64" i="114" s="1"/>
  <c r="F63" i="114"/>
  <c r="G63" i="114" s="1"/>
  <c r="F62" i="114"/>
  <c r="F61" i="114"/>
  <c r="G61" i="114" s="1"/>
  <c r="F60" i="114"/>
  <c r="G60" i="114" s="1"/>
  <c r="F59" i="114"/>
  <c r="G59" i="114" s="1"/>
  <c r="F58" i="114"/>
  <c r="F57" i="114"/>
  <c r="G57" i="114" s="1"/>
  <c r="F56" i="114"/>
  <c r="G56" i="114" s="1"/>
  <c r="F55" i="114"/>
  <c r="G55" i="114" s="1"/>
  <c r="F54" i="114"/>
  <c r="F53" i="114"/>
  <c r="G53" i="114" s="1"/>
  <c r="F52" i="114"/>
  <c r="G52" i="114" s="1"/>
  <c r="F51" i="114"/>
  <c r="G51" i="114" s="1"/>
  <c r="F50" i="114"/>
  <c r="F49" i="114"/>
  <c r="G49" i="114" s="1"/>
  <c r="F48" i="114"/>
  <c r="G48" i="114" s="1"/>
  <c r="F47" i="114"/>
  <c r="G47" i="114" s="1"/>
  <c r="F46" i="114"/>
  <c r="G46" i="114" s="1"/>
  <c r="F45" i="114"/>
  <c r="G45" i="114" s="1"/>
  <c r="F44" i="114"/>
  <c r="G44" i="114" s="1"/>
  <c r="F43" i="114"/>
  <c r="G43" i="114" s="1"/>
  <c r="F42" i="114"/>
  <c r="G42" i="114" s="1"/>
  <c r="F41" i="114"/>
  <c r="G41" i="114" s="1"/>
  <c r="F40" i="114"/>
  <c r="G40" i="114" s="1"/>
  <c r="F39" i="114"/>
  <c r="G39" i="114" s="1"/>
  <c r="F38" i="114"/>
  <c r="G38" i="114" s="1"/>
  <c r="F37" i="114"/>
  <c r="G37" i="114" s="1"/>
  <c r="F36" i="114"/>
  <c r="G36" i="114" s="1"/>
  <c r="F35" i="114"/>
  <c r="G35" i="114" s="1"/>
  <c r="F34" i="114"/>
  <c r="G34" i="114"/>
  <c r="F33" i="114"/>
  <c r="G33" i="114" s="1"/>
  <c r="F32" i="114"/>
  <c r="G32" i="114"/>
  <c r="F31" i="114"/>
  <c r="F30" i="114"/>
  <c r="G30" i="114" s="1"/>
  <c r="F29" i="114"/>
  <c r="G29" i="114"/>
  <c r="F28" i="114"/>
  <c r="G28" i="114" s="1"/>
  <c r="F27" i="114"/>
  <c r="G27" i="114" s="1"/>
  <c r="F26" i="114"/>
  <c r="G26" i="114" s="1"/>
  <c r="F25" i="114"/>
  <c r="G25" i="114" s="1"/>
  <c r="F24" i="114"/>
  <c r="G24" i="114" s="1"/>
  <c r="F23" i="114"/>
  <c r="G23" i="114" s="1"/>
  <c r="F22" i="114"/>
  <c r="G22" i="114" s="1"/>
  <c r="F21" i="114"/>
  <c r="G21" i="114"/>
  <c r="F20" i="114"/>
  <c r="G20" i="114" s="1"/>
  <c r="F19" i="114"/>
  <c r="G19" i="114" s="1"/>
  <c r="F18" i="114"/>
  <c r="G18" i="114" s="1"/>
  <c r="F17" i="114"/>
  <c r="G17" i="114" s="1"/>
  <c r="F16" i="114"/>
  <c r="G16" i="114"/>
  <c r="F15" i="114"/>
  <c r="G15" i="114" s="1"/>
  <c r="F14" i="114"/>
  <c r="G14" i="114"/>
  <c r="F13" i="114"/>
  <c r="G13" i="114" s="1"/>
  <c r="F12" i="114"/>
  <c r="G12" i="114"/>
  <c r="F11" i="114"/>
  <c r="G11" i="114" s="1"/>
  <c r="F10" i="114"/>
  <c r="G10" i="114" s="1"/>
  <c r="F9" i="114"/>
  <c r="G9" i="114" s="1"/>
  <c r="F8" i="114"/>
  <c r="G8" i="114" s="1"/>
  <c r="F7" i="114"/>
  <c r="G7" i="114" s="1"/>
  <c r="D5" i="114"/>
  <c r="E5" i="114"/>
  <c r="F5" i="114"/>
  <c r="G5" i="114"/>
  <c r="H5" i="114"/>
  <c r="I5" i="114"/>
  <c r="J5" i="114"/>
  <c r="K5" i="114"/>
  <c r="L5" i="114"/>
  <c r="M5" i="114"/>
  <c r="N5" i="114"/>
  <c r="O5" i="114"/>
  <c r="P5" i="114"/>
  <c r="Q5" i="114"/>
  <c r="R5" i="114"/>
  <c r="S5" i="114"/>
  <c r="T5" i="114"/>
  <c r="U5" i="114"/>
  <c r="V5" i="114"/>
  <c r="K76" i="113"/>
  <c r="E72" i="81" s="1"/>
  <c r="F45" i="113"/>
  <c r="G45" i="113" s="1"/>
  <c r="F42" i="113"/>
  <c r="G42" i="113" s="1"/>
  <c r="Q41" i="2" s="1"/>
  <c r="F23" i="113"/>
  <c r="G23" i="113" s="1"/>
  <c r="F75" i="113"/>
  <c r="G75" i="113" s="1"/>
  <c r="F74" i="113"/>
  <c r="G74" i="113" s="1"/>
  <c r="F73" i="113"/>
  <c r="G73" i="113" s="1"/>
  <c r="F72" i="113"/>
  <c r="G72" i="113" s="1"/>
  <c r="F71" i="113"/>
  <c r="G71" i="113" s="1"/>
  <c r="F70" i="113"/>
  <c r="G70" i="113" s="1"/>
  <c r="F69" i="113"/>
  <c r="G69" i="113" s="1"/>
  <c r="F68" i="113"/>
  <c r="G68" i="113" s="1"/>
  <c r="F67" i="113"/>
  <c r="G67" i="113" s="1"/>
  <c r="F66" i="113"/>
  <c r="G66" i="113" s="1"/>
  <c r="F65" i="113"/>
  <c r="G65" i="113" s="1"/>
  <c r="F64" i="113"/>
  <c r="G64" i="113" s="1"/>
  <c r="F63" i="113"/>
  <c r="G63" i="113" s="1"/>
  <c r="F62" i="113"/>
  <c r="G62" i="113" s="1"/>
  <c r="F61" i="113"/>
  <c r="G61" i="113" s="1"/>
  <c r="F60" i="113"/>
  <c r="G60" i="113" s="1"/>
  <c r="F59" i="113"/>
  <c r="G59" i="113" s="1"/>
  <c r="F58" i="113"/>
  <c r="G58" i="113" s="1"/>
  <c r="F57" i="113"/>
  <c r="G57" i="113" s="1"/>
  <c r="F56" i="113"/>
  <c r="G56" i="113" s="1"/>
  <c r="F55" i="113"/>
  <c r="G55" i="113" s="1"/>
  <c r="F54" i="113"/>
  <c r="G54" i="113" s="1"/>
  <c r="F53" i="113"/>
  <c r="G53" i="113" s="1"/>
  <c r="F52" i="113"/>
  <c r="G52" i="113" s="1"/>
  <c r="F51" i="113"/>
  <c r="G51" i="113" s="1"/>
  <c r="F50" i="113"/>
  <c r="G50" i="113" s="1"/>
  <c r="F49" i="113"/>
  <c r="G49" i="113" s="1"/>
  <c r="F48" i="113"/>
  <c r="G48" i="113" s="1"/>
  <c r="F47" i="113"/>
  <c r="G47" i="113" s="1"/>
  <c r="F46" i="113"/>
  <c r="G46" i="113" s="1"/>
  <c r="F44" i="113"/>
  <c r="G44" i="113" s="1"/>
  <c r="F43" i="113"/>
  <c r="G43" i="113" s="1"/>
  <c r="F41" i="113"/>
  <c r="G41" i="113" s="1"/>
  <c r="F40" i="113"/>
  <c r="G40" i="113" s="1"/>
  <c r="F39" i="113"/>
  <c r="G39" i="113" s="1"/>
  <c r="F38" i="113"/>
  <c r="G38" i="113" s="1"/>
  <c r="F37" i="113"/>
  <c r="G37" i="113" s="1"/>
  <c r="F36" i="113"/>
  <c r="G36" i="113" s="1"/>
  <c r="F35" i="113"/>
  <c r="G35" i="113" s="1"/>
  <c r="F34" i="113"/>
  <c r="G34" i="113" s="1"/>
  <c r="F33" i="113"/>
  <c r="G33" i="113" s="1"/>
  <c r="F32" i="113"/>
  <c r="G32" i="113" s="1"/>
  <c r="F31" i="113"/>
  <c r="G31" i="113" s="1"/>
  <c r="F30" i="113"/>
  <c r="G30" i="113" s="1"/>
  <c r="F29" i="113"/>
  <c r="G29" i="113" s="1"/>
  <c r="F28" i="113"/>
  <c r="G28" i="113" s="1"/>
  <c r="F27" i="113"/>
  <c r="G27" i="113" s="1"/>
  <c r="F26" i="113"/>
  <c r="G26" i="113" s="1"/>
  <c r="F25" i="113"/>
  <c r="G25" i="113" s="1"/>
  <c r="F24" i="113"/>
  <c r="G24" i="113" s="1"/>
  <c r="F22" i="113"/>
  <c r="G22" i="113" s="1"/>
  <c r="F21" i="113"/>
  <c r="G21" i="113" s="1"/>
  <c r="F20" i="113"/>
  <c r="G20" i="113" s="1"/>
  <c r="F19" i="113"/>
  <c r="G19" i="113" s="1"/>
  <c r="F18" i="113"/>
  <c r="G18" i="113" s="1"/>
  <c r="F17" i="113"/>
  <c r="G17" i="113" s="1"/>
  <c r="F16" i="113"/>
  <c r="G16" i="113" s="1"/>
  <c r="F15" i="113"/>
  <c r="G15" i="113" s="1"/>
  <c r="F14" i="113"/>
  <c r="G14" i="113" s="1"/>
  <c r="F13" i="113"/>
  <c r="G13" i="113" s="1"/>
  <c r="F12" i="113"/>
  <c r="G12" i="113" s="1"/>
  <c r="F11" i="113"/>
  <c r="G11" i="113" s="1"/>
  <c r="F10" i="113"/>
  <c r="G10" i="113" s="1"/>
  <c r="F9" i="113"/>
  <c r="G9" i="113" s="1"/>
  <c r="F8" i="113"/>
  <c r="G8" i="113" s="1"/>
  <c r="F7" i="113"/>
  <c r="G7" i="113" s="1"/>
  <c r="R76" i="113"/>
  <c r="C76" i="113"/>
  <c r="D5" i="113"/>
  <c r="E5" i="113" s="1"/>
  <c r="F5" i="113" s="1"/>
  <c r="G5" i="113" s="1"/>
  <c r="H5" i="113" s="1"/>
  <c r="I5" i="113" s="1"/>
  <c r="J5" i="113" s="1"/>
  <c r="K5" i="113" s="1"/>
  <c r="L5" i="113" s="1"/>
  <c r="M5" i="113" s="1"/>
  <c r="O5" i="113" s="1"/>
  <c r="P5" i="113" s="1"/>
  <c r="Q5" i="113" s="1"/>
  <c r="R5" i="113" s="1"/>
  <c r="S5" i="113" s="1"/>
  <c r="T5" i="113" s="1"/>
  <c r="U5" i="113" s="1"/>
  <c r="V5" i="113" s="1"/>
  <c r="C76" i="115"/>
  <c r="C77" i="114"/>
  <c r="G31" i="114"/>
  <c r="G50" i="115"/>
  <c r="G31" i="115"/>
  <c r="G25" i="118"/>
  <c r="G33" i="118"/>
  <c r="G59" i="115"/>
  <c r="G8" i="120"/>
  <c r="G30" i="120"/>
  <c r="G31" i="120"/>
  <c r="G38" i="120"/>
  <c r="G62" i="120"/>
  <c r="G63" i="120"/>
  <c r="G65" i="120"/>
  <c r="G66" i="120"/>
  <c r="G70" i="120"/>
  <c r="G74" i="120"/>
  <c r="C76" i="119"/>
  <c r="G8" i="119"/>
  <c r="G12" i="119"/>
  <c r="G16" i="119"/>
  <c r="G20" i="119"/>
  <c r="G24" i="119"/>
  <c r="G28" i="119"/>
  <c r="G29" i="119"/>
  <c r="G32" i="119"/>
  <c r="G44" i="119"/>
  <c r="G52" i="119"/>
  <c r="G55" i="119"/>
  <c r="G70" i="119"/>
  <c r="G72" i="119"/>
  <c r="G74" i="119"/>
  <c r="C76" i="118"/>
  <c r="G7" i="118"/>
  <c r="G9" i="118"/>
  <c r="G46" i="118"/>
  <c r="G44" i="118"/>
  <c r="G43" i="118"/>
  <c r="G47" i="118"/>
  <c r="G51" i="118"/>
  <c r="G54" i="118"/>
  <c r="G55" i="118"/>
  <c r="G58" i="118"/>
  <c r="G59" i="118"/>
  <c r="G62" i="118"/>
  <c r="G63" i="118"/>
  <c r="G66" i="118"/>
  <c r="G67" i="118"/>
  <c r="G70" i="118"/>
  <c r="G71" i="118"/>
  <c r="G74" i="118"/>
  <c r="G75" i="118"/>
  <c r="G43" i="117"/>
  <c r="G9" i="117"/>
  <c r="G12" i="117"/>
  <c r="G18" i="117"/>
  <c r="G22" i="117"/>
  <c r="G24" i="117"/>
  <c r="G28" i="117"/>
  <c r="G30" i="117"/>
  <c r="G40" i="117"/>
  <c r="G45" i="117"/>
  <c r="G48" i="117"/>
  <c r="G55" i="117"/>
  <c r="G59" i="117"/>
  <c r="G60" i="117"/>
  <c r="G68" i="117"/>
  <c r="G71" i="117"/>
  <c r="G73" i="117"/>
  <c r="G75" i="117"/>
  <c r="G7" i="116"/>
  <c r="G10" i="116"/>
  <c r="G11" i="116"/>
  <c r="G14" i="116"/>
  <c r="G15" i="116"/>
  <c r="G18" i="116"/>
  <c r="G19" i="116"/>
  <c r="G22" i="116"/>
  <c r="G23" i="116"/>
  <c r="G26" i="116"/>
  <c r="G27" i="116"/>
  <c r="G30" i="116"/>
  <c r="G31" i="116"/>
  <c r="G34" i="116"/>
  <c r="G35" i="116"/>
  <c r="G44" i="116"/>
  <c r="G52" i="116"/>
  <c r="G62" i="116"/>
  <c r="G74" i="116"/>
  <c r="G23" i="115"/>
  <c r="G41" i="115"/>
  <c r="G42" i="115"/>
  <c r="G45" i="115"/>
  <c r="G46" i="115"/>
  <c r="G50" i="114"/>
  <c r="G54" i="114"/>
  <c r="G58" i="114"/>
  <c r="G62" i="114"/>
  <c r="G66" i="114"/>
  <c r="G69" i="114"/>
  <c r="G70" i="114"/>
  <c r="G74" i="114"/>
  <c r="E5" i="100"/>
  <c r="F5" i="100" s="1"/>
  <c r="G5" i="100" s="1"/>
  <c r="H5" i="100" s="1"/>
  <c r="I5" i="100" s="1"/>
  <c r="J5" i="100" s="1"/>
  <c r="K5" i="100" s="1"/>
  <c r="L5" i="100" s="1"/>
  <c r="M5" i="100" s="1"/>
  <c r="N5" i="100" s="1"/>
  <c r="O5" i="100" s="1"/>
  <c r="P5" i="100" s="1"/>
  <c r="Q5" i="100" s="1"/>
  <c r="R5" i="100" s="1"/>
  <c r="Q75" i="67"/>
  <c r="Q74" i="67"/>
  <c r="Q73" i="67"/>
  <c r="Q71" i="67"/>
  <c r="Q70" i="67"/>
  <c r="Q69" i="67"/>
  <c r="Q68" i="67"/>
  <c r="Q67" i="67"/>
  <c r="Q66" i="67"/>
  <c r="Q65" i="67"/>
  <c r="Q64" i="67"/>
  <c r="Q63" i="67"/>
  <c r="Q62" i="67"/>
  <c r="Q60" i="67"/>
  <c r="Q59" i="67"/>
  <c r="Q58" i="67"/>
  <c r="Q57" i="67"/>
  <c r="Q56" i="67"/>
  <c r="Q54" i="67"/>
  <c r="Q53" i="67"/>
  <c r="Q52" i="67"/>
  <c r="Q51" i="67"/>
  <c r="Q50" i="67"/>
  <c r="Q49" i="67"/>
  <c r="Q48" i="67"/>
  <c r="Q47" i="67"/>
  <c r="Q45" i="67"/>
  <c r="Q44" i="67"/>
  <c r="Q41" i="67"/>
  <c r="Q40" i="67"/>
  <c r="Q39" i="67"/>
  <c r="Q38" i="67"/>
  <c r="Q36" i="67"/>
  <c r="Q34" i="67"/>
  <c r="Q33" i="67"/>
  <c r="Q31" i="67"/>
  <c r="Q30" i="67"/>
  <c r="Q28" i="67"/>
  <c r="Q27" i="67"/>
  <c r="Q25" i="67"/>
  <c r="Q24" i="67"/>
  <c r="Q22" i="67"/>
  <c r="Q21" i="67"/>
  <c r="Q20" i="67"/>
  <c r="Q19" i="67"/>
  <c r="Q18" i="67"/>
  <c r="Q17" i="67"/>
  <c r="Q14" i="67"/>
  <c r="Q13" i="67"/>
  <c r="Q12" i="67"/>
  <c r="Q11" i="67"/>
  <c r="Q10" i="67"/>
  <c r="Q9" i="67"/>
  <c r="Q8" i="67"/>
  <c r="Q76" i="67" s="1"/>
  <c r="Q7" i="67"/>
  <c r="I75" i="67"/>
  <c r="I74" i="67"/>
  <c r="I73" i="67"/>
  <c r="I71" i="67"/>
  <c r="I70" i="67"/>
  <c r="I69" i="67"/>
  <c r="I68" i="67"/>
  <c r="I67" i="67"/>
  <c r="I66" i="67"/>
  <c r="I65" i="67"/>
  <c r="I64" i="67"/>
  <c r="I63" i="67"/>
  <c r="I62" i="67"/>
  <c r="I60" i="67"/>
  <c r="I59" i="67"/>
  <c r="I58" i="67"/>
  <c r="I57" i="67"/>
  <c r="I56" i="67"/>
  <c r="I54" i="67"/>
  <c r="I53" i="67"/>
  <c r="I52" i="67"/>
  <c r="I51" i="67"/>
  <c r="I50" i="67"/>
  <c r="I49" i="67"/>
  <c r="I48" i="67"/>
  <c r="I47" i="67"/>
  <c r="I45" i="67"/>
  <c r="I44" i="67"/>
  <c r="I41" i="67"/>
  <c r="I40" i="67"/>
  <c r="I39" i="67"/>
  <c r="I38" i="67"/>
  <c r="I36" i="67"/>
  <c r="I34" i="67"/>
  <c r="I33" i="67"/>
  <c r="I31" i="67"/>
  <c r="I30" i="67"/>
  <c r="I28" i="67"/>
  <c r="I27" i="67"/>
  <c r="I25" i="67"/>
  <c r="I24" i="67"/>
  <c r="I22" i="67"/>
  <c r="I21" i="67"/>
  <c r="I20" i="67"/>
  <c r="I19" i="67"/>
  <c r="I18" i="67"/>
  <c r="I17" i="67"/>
  <c r="I14" i="67"/>
  <c r="I13" i="67"/>
  <c r="I12" i="67"/>
  <c r="I11" i="67"/>
  <c r="I10" i="67"/>
  <c r="I9" i="67"/>
  <c r="I8" i="67"/>
  <c r="I7" i="67"/>
  <c r="H75" i="81"/>
  <c r="G81" i="81"/>
  <c r="G16" i="46"/>
  <c r="G38" i="31"/>
  <c r="G35" i="31"/>
  <c r="H17" i="81"/>
  <c r="H16" i="81"/>
  <c r="G16" i="1"/>
  <c r="E16" i="1"/>
  <c r="E28" i="1"/>
  <c r="G9" i="1"/>
  <c r="G13" i="1"/>
  <c r="E13" i="1"/>
  <c r="G17" i="1"/>
  <c r="E17" i="1"/>
  <c r="G21" i="1"/>
  <c r="E21" i="1"/>
  <c r="G25" i="1"/>
  <c r="E25" i="1"/>
  <c r="G29" i="1"/>
  <c r="E29" i="1"/>
  <c r="G33" i="1"/>
  <c r="E33" i="1"/>
  <c r="G37" i="1"/>
  <c r="E37" i="1"/>
  <c r="G41" i="1"/>
  <c r="E41" i="1"/>
  <c r="G45" i="1"/>
  <c r="E45" i="1"/>
  <c r="G49" i="1"/>
  <c r="E49" i="1"/>
  <c r="G53" i="1"/>
  <c r="E53" i="1"/>
  <c r="G57" i="1"/>
  <c r="G61" i="1"/>
  <c r="E61" i="1"/>
  <c r="G65" i="1"/>
  <c r="E65" i="1"/>
  <c r="G69" i="1"/>
  <c r="E69" i="1"/>
  <c r="G73" i="1"/>
  <c r="E73" i="1"/>
  <c r="G14" i="1"/>
  <c r="G22" i="1"/>
  <c r="G34" i="1"/>
  <c r="G42" i="1"/>
  <c r="G46" i="1"/>
  <c r="G50" i="1"/>
  <c r="G54" i="1"/>
  <c r="G58" i="1"/>
  <c r="G62" i="1"/>
  <c r="G66" i="1"/>
  <c r="G70" i="1"/>
  <c r="G74" i="1"/>
  <c r="G10" i="1"/>
  <c r="G18" i="1"/>
  <c r="G26" i="1"/>
  <c r="G30" i="1"/>
  <c r="G38" i="1"/>
  <c r="E11" i="1"/>
  <c r="G11" i="1"/>
  <c r="G15" i="1"/>
  <c r="G19" i="1"/>
  <c r="G23" i="1"/>
  <c r="G27" i="1"/>
  <c r="G31" i="1"/>
  <c r="G35" i="1"/>
  <c r="G39" i="1"/>
  <c r="E43" i="1"/>
  <c r="G43" i="1"/>
  <c r="G47" i="1"/>
  <c r="G51" i="1"/>
  <c r="G55" i="1"/>
  <c r="G59" i="1"/>
  <c r="G63" i="1"/>
  <c r="G67" i="1"/>
  <c r="G71" i="1"/>
  <c r="E75" i="1"/>
  <c r="G75" i="1"/>
  <c r="E12" i="1"/>
  <c r="E24" i="1"/>
  <c r="E40" i="1"/>
  <c r="E44" i="1"/>
  <c r="E48" i="1"/>
  <c r="E52" i="1"/>
  <c r="E56" i="1"/>
  <c r="E60" i="1"/>
  <c r="E64" i="1"/>
  <c r="E72" i="1"/>
  <c r="G76" i="1"/>
  <c r="G75" i="81"/>
  <c r="J75" i="72"/>
  <c r="S73" i="80"/>
  <c r="S77" i="80" s="1"/>
  <c r="L73" i="80"/>
  <c r="L77" i="80" s="1"/>
  <c r="C73" i="80"/>
  <c r="C77" i="80" s="1"/>
  <c r="F42" i="80"/>
  <c r="G42" i="80" s="1"/>
  <c r="F39" i="80"/>
  <c r="G39" i="80" s="1"/>
  <c r="F20" i="80"/>
  <c r="G20" i="80" s="1"/>
  <c r="D3" i="80"/>
  <c r="E3" i="80"/>
  <c r="F3" i="80"/>
  <c r="G3" i="80"/>
  <c r="H3" i="80"/>
  <c r="I3" i="80"/>
  <c r="J3" i="80"/>
  <c r="K3" i="80"/>
  <c r="L3" i="80"/>
  <c r="M3" i="80"/>
  <c r="N3" i="80"/>
  <c r="O3" i="80"/>
  <c r="P3" i="80"/>
  <c r="Q3" i="80"/>
  <c r="R3" i="80"/>
  <c r="S3" i="80"/>
  <c r="T3" i="80"/>
  <c r="U3" i="80"/>
  <c r="V3" i="80"/>
  <c r="W3" i="80"/>
  <c r="C73" i="76"/>
  <c r="C77" i="76" s="1"/>
  <c r="F42" i="76"/>
  <c r="G42" i="76" s="1"/>
  <c r="F39" i="76"/>
  <c r="G39" i="76" s="1"/>
  <c r="F20" i="76"/>
  <c r="G20" i="76" s="1"/>
  <c r="G29" i="31"/>
  <c r="G33" i="46"/>
  <c r="G59" i="31"/>
  <c r="G56" i="31"/>
  <c r="G55" i="31"/>
  <c r="G52" i="31"/>
  <c r="G47" i="31"/>
  <c r="G41" i="31"/>
  <c r="G39" i="31"/>
  <c r="G64" i="31"/>
  <c r="G32" i="31"/>
  <c r="G26" i="31"/>
  <c r="G15" i="31"/>
  <c r="G7" i="31"/>
  <c r="D3" i="76"/>
  <c r="E3" i="76"/>
  <c r="F3" i="76"/>
  <c r="G3" i="76"/>
  <c r="H3" i="76"/>
  <c r="I3" i="76"/>
  <c r="J3" i="76"/>
  <c r="K3" i="76"/>
  <c r="L3" i="76"/>
  <c r="M3" i="76"/>
  <c r="N3" i="76"/>
  <c r="O3" i="76"/>
  <c r="P3" i="76"/>
  <c r="Q3" i="76"/>
  <c r="R3" i="76"/>
  <c r="S3" i="76"/>
  <c r="T3" i="76"/>
  <c r="U3" i="76"/>
  <c r="V3" i="76"/>
  <c r="W3" i="76"/>
  <c r="X76" i="13"/>
  <c r="I52" i="2"/>
  <c r="I29" i="2"/>
  <c r="AH77" i="13"/>
  <c r="AG77" i="13"/>
  <c r="AT75" i="72"/>
  <c r="D5" i="72"/>
  <c r="E5" i="72" s="1"/>
  <c r="F5" i="72" s="1"/>
  <c r="G5" i="72" s="1"/>
  <c r="H5" i="72" s="1"/>
  <c r="I5" i="72" s="1"/>
  <c r="J5" i="72" s="1"/>
  <c r="K5" i="72" s="1"/>
  <c r="L5" i="72" s="1"/>
  <c r="M5" i="72" s="1"/>
  <c r="N5" i="72" s="1"/>
  <c r="O5" i="72" s="1"/>
  <c r="P5" i="72" s="1"/>
  <c r="Q5" i="72" s="1"/>
  <c r="R5" i="72" s="1"/>
  <c r="S5" i="72" s="1"/>
  <c r="T5" i="72" s="1"/>
  <c r="U5" i="72" s="1"/>
  <c r="V5" i="72" s="1"/>
  <c r="W5" i="72" s="1"/>
  <c r="Z5" i="72" s="1"/>
  <c r="AA5" i="72" s="1"/>
  <c r="AB5" i="72" s="1"/>
  <c r="AC5" i="72" s="1"/>
  <c r="AD5" i="72" s="1"/>
  <c r="AE5" i="72" s="1"/>
  <c r="AF5" i="72" s="1"/>
  <c r="AG5" i="72" s="1"/>
  <c r="AH5" i="72" s="1"/>
  <c r="AI5" i="72" s="1"/>
  <c r="AJ5" i="72" s="1"/>
  <c r="AK5" i="72" s="1"/>
  <c r="AL5" i="72" s="1"/>
  <c r="AM5" i="72" s="1"/>
  <c r="AN5" i="72" s="1"/>
  <c r="AO5" i="72" s="1"/>
  <c r="AP5" i="72" s="1"/>
  <c r="AQ5" i="72" s="1"/>
  <c r="AR5" i="72" s="1"/>
  <c r="AS5" i="72" s="1"/>
  <c r="Q4" i="1"/>
  <c r="Q12" i="1"/>
  <c r="E9" i="5"/>
  <c r="E8" i="5"/>
  <c r="F8" i="5" s="1"/>
  <c r="D5" i="67"/>
  <c r="E5" i="67"/>
  <c r="F5" i="67"/>
  <c r="G5" i="67"/>
  <c r="G29" i="46"/>
  <c r="V77" i="13"/>
  <c r="F77" i="13"/>
  <c r="H40" i="13"/>
  <c r="D41" i="25"/>
  <c r="H38" i="13"/>
  <c r="D39" i="25"/>
  <c r="H34" i="13"/>
  <c r="D35" i="25"/>
  <c r="H32" i="13"/>
  <c r="D33" i="25"/>
  <c r="G30" i="13"/>
  <c r="H28" i="13"/>
  <c r="D29" i="25"/>
  <c r="G26" i="13"/>
  <c r="H24" i="13"/>
  <c r="D25" i="25"/>
  <c r="G22" i="13"/>
  <c r="H16" i="13"/>
  <c r="D17" i="25"/>
  <c r="G14" i="13"/>
  <c r="H12" i="13"/>
  <c r="D13" i="25"/>
  <c r="H9" i="13"/>
  <c r="D10" i="25"/>
  <c r="H13" i="13"/>
  <c r="D14" i="25"/>
  <c r="H17" i="13"/>
  <c r="D18" i="25"/>
  <c r="H21" i="13"/>
  <c r="D22" i="25"/>
  <c r="H25" i="13"/>
  <c r="D26" i="25"/>
  <c r="H29" i="13"/>
  <c r="D30" i="25"/>
  <c r="H33" i="13"/>
  <c r="D34" i="25"/>
  <c r="G37" i="13"/>
  <c r="H44" i="13"/>
  <c r="D45" i="25"/>
  <c r="H45" i="13"/>
  <c r="D46" i="25"/>
  <c r="H46" i="13"/>
  <c r="D47" i="25"/>
  <c r="H48" i="13"/>
  <c r="D49" i="25"/>
  <c r="H49" i="13"/>
  <c r="D50" i="25"/>
  <c r="G50" i="13"/>
  <c r="H52" i="13"/>
  <c r="D53" i="25"/>
  <c r="H53" i="13"/>
  <c r="D54" i="25"/>
  <c r="H54" i="13"/>
  <c r="D55" i="25"/>
  <c r="H56" i="13"/>
  <c r="D57" i="25"/>
  <c r="H57" i="13"/>
  <c r="D58" i="25"/>
  <c r="H58" i="13"/>
  <c r="D59" i="25"/>
  <c r="G60" i="13"/>
  <c r="H62" i="13"/>
  <c r="D63" i="25"/>
  <c r="H64" i="13"/>
  <c r="D65" i="25"/>
  <c r="H65" i="13"/>
  <c r="D66" i="25"/>
  <c r="G66" i="13"/>
  <c r="H69" i="13"/>
  <c r="D70" i="25"/>
  <c r="H70" i="13"/>
  <c r="D71" i="25"/>
  <c r="H72" i="13"/>
  <c r="D73" i="25"/>
  <c r="H73" i="13"/>
  <c r="D74" i="25"/>
  <c r="H74" i="13"/>
  <c r="D75" i="25"/>
  <c r="G76" i="13"/>
  <c r="I20" i="2"/>
  <c r="I68" i="2"/>
  <c r="I64" i="25"/>
  <c r="I9" i="25"/>
  <c r="I10" i="25"/>
  <c r="I11" i="25"/>
  <c r="I12" i="25"/>
  <c r="I13" i="25"/>
  <c r="I14" i="25"/>
  <c r="I15" i="25"/>
  <c r="I16" i="25"/>
  <c r="I17" i="25"/>
  <c r="I18" i="25"/>
  <c r="I19" i="25"/>
  <c r="I20" i="25"/>
  <c r="I21" i="25"/>
  <c r="I22" i="25"/>
  <c r="I23" i="25"/>
  <c r="I24" i="25"/>
  <c r="I25" i="25"/>
  <c r="I26" i="25"/>
  <c r="I27" i="25"/>
  <c r="I28" i="25"/>
  <c r="I29" i="25"/>
  <c r="I30" i="25"/>
  <c r="I31" i="25"/>
  <c r="I32" i="25"/>
  <c r="I33" i="25"/>
  <c r="I34" i="25"/>
  <c r="I35" i="25"/>
  <c r="I36" i="25"/>
  <c r="I37" i="25"/>
  <c r="I38" i="25"/>
  <c r="I39" i="25"/>
  <c r="I40" i="25"/>
  <c r="I41" i="25"/>
  <c r="I42" i="25"/>
  <c r="I43" i="25"/>
  <c r="I44" i="25"/>
  <c r="I45" i="25"/>
  <c r="I46" i="25"/>
  <c r="I47" i="25"/>
  <c r="I48" i="25"/>
  <c r="I49" i="25"/>
  <c r="I50" i="25"/>
  <c r="I51" i="25"/>
  <c r="I52" i="25"/>
  <c r="I53" i="25"/>
  <c r="I54" i="25"/>
  <c r="I55" i="25"/>
  <c r="I56" i="25"/>
  <c r="I57" i="25"/>
  <c r="I58" i="25"/>
  <c r="I59" i="25"/>
  <c r="I60" i="25"/>
  <c r="I61" i="25"/>
  <c r="I62" i="25"/>
  <c r="I63" i="25"/>
  <c r="I65" i="25"/>
  <c r="I66" i="25"/>
  <c r="I67" i="25"/>
  <c r="I68" i="25"/>
  <c r="I69" i="25"/>
  <c r="I70" i="25"/>
  <c r="I71" i="25"/>
  <c r="I72" i="25"/>
  <c r="I73" i="25"/>
  <c r="I74" i="25"/>
  <c r="I75" i="25"/>
  <c r="I76" i="25"/>
  <c r="I77" i="25"/>
  <c r="G12" i="46"/>
  <c r="D6" i="46"/>
  <c r="E6" i="46"/>
  <c r="F6" i="46"/>
  <c r="G6" i="46"/>
  <c r="H6" i="46"/>
  <c r="I6" i="46"/>
  <c r="J6" i="46"/>
  <c r="K6" i="46"/>
  <c r="L6" i="46"/>
  <c r="M6" i="46"/>
  <c r="N6" i="46"/>
  <c r="O6" i="46"/>
  <c r="P6" i="46"/>
  <c r="Q6" i="46"/>
  <c r="R6" i="46"/>
  <c r="S6" i="46"/>
  <c r="T6" i="46"/>
  <c r="U6" i="46"/>
  <c r="V6" i="46"/>
  <c r="W6" i="46"/>
  <c r="X6" i="46"/>
  <c r="Y6" i="46"/>
  <c r="Z6" i="46"/>
  <c r="E57" i="1"/>
  <c r="D6" i="31"/>
  <c r="E6" i="31" s="1"/>
  <c r="F6" i="31" s="1"/>
  <c r="G6" i="31" s="1"/>
  <c r="H6" i="31" s="1"/>
  <c r="I6" i="31" s="1"/>
  <c r="J6" i="31" s="1"/>
  <c r="L6" i="31" s="1"/>
  <c r="M6" i="31" s="1"/>
  <c r="N6" i="31" s="1"/>
  <c r="O6" i="31" s="1"/>
  <c r="P6" i="31" s="1"/>
  <c r="Q6" i="31" s="1"/>
  <c r="R6" i="31" s="1"/>
  <c r="S6" i="31" s="1"/>
  <c r="AI76" i="13"/>
  <c r="F77" i="25"/>
  <c r="AI75" i="13"/>
  <c r="AK75" i="13"/>
  <c r="AL75" i="13"/>
  <c r="AI74" i="13"/>
  <c r="AK74" i="13"/>
  <c r="AI73" i="13"/>
  <c r="AK73" i="13"/>
  <c r="AL73" i="13"/>
  <c r="AI72" i="13"/>
  <c r="AI71" i="13"/>
  <c r="AK71" i="13"/>
  <c r="AI70" i="13"/>
  <c r="AK70" i="13"/>
  <c r="AO70" i="13"/>
  <c r="AI69" i="13"/>
  <c r="AK69" i="13"/>
  <c r="AO69" i="13"/>
  <c r="AI68" i="13"/>
  <c r="F69" i="25"/>
  <c r="AI67" i="13"/>
  <c r="AK67" i="13"/>
  <c r="AL67" i="13"/>
  <c r="AI66" i="13"/>
  <c r="AI65" i="13"/>
  <c r="AK65" i="13"/>
  <c r="AL65" i="13"/>
  <c r="AI64" i="13"/>
  <c r="AK64" i="13"/>
  <c r="AI63" i="13"/>
  <c r="AK63" i="13"/>
  <c r="AI62" i="13"/>
  <c r="AI61" i="13"/>
  <c r="AK61" i="13"/>
  <c r="AM61" i="13"/>
  <c r="G62" i="25"/>
  <c r="AI60" i="13"/>
  <c r="F61" i="25"/>
  <c r="AI59" i="13"/>
  <c r="AK59" i="13"/>
  <c r="AL59" i="13"/>
  <c r="AI58" i="13"/>
  <c r="AK58" i="13"/>
  <c r="AI57" i="13"/>
  <c r="AK57" i="13"/>
  <c r="AL57" i="13"/>
  <c r="AI56" i="13"/>
  <c r="AI55" i="13"/>
  <c r="AK55" i="13"/>
  <c r="AI54" i="13"/>
  <c r="AK54" i="13"/>
  <c r="AN54" i="13"/>
  <c r="AI53" i="13"/>
  <c r="AK53" i="13"/>
  <c r="AL53" i="13"/>
  <c r="AI52" i="13"/>
  <c r="F53" i="25"/>
  <c r="AI51" i="13"/>
  <c r="AK51" i="13"/>
  <c r="AL51" i="13"/>
  <c r="AI50" i="13"/>
  <c r="AI49" i="13"/>
  <c r="AK49" i="13"/>
  <c r="AL49" i="13"/>
  <c r="AI48" i="13"/>
  <c r="AK48" i="13"/>
  <c r="AI47" i="13"/>
  <c r="AK47" i="13"/>
  <c r="AI46" i="13"/>
  <c r="AI45" i="13"/>
  <c r="AK45" i="13"/>
  <c r="AN45" i="13"/>
  <c r="AI44" i="13"/>
  <c r="F45" i="25"/>
  <c r="AI43" i="13"/>
  <c r="AK43" i="13"/>
  <c r="AL43" i="13"/>
  <c r="AI42" i="13"/>
  <c r="AK42" i="13"/>
  <c r="AI41" i="13"/>
  <c r="AK41" i="13"/>
  <c r="AL41" i="13"/>
  <c r="AI40" i="13"/>
  <c r="AI38" i="13"/>
  <c r="AK38" i="13"/>
  <c r="AI37" i="13"/>
  <c r="AK37" i="13"/>
  <c r="AL37" i="13"/>
  <c r="AI36" i="13"/>
  <c r="AK36" i="13"/>
  <c r="AI35" i="13"/>
  <c r="AI34" i="13"/>
  <c r="AK34" i="13"/>
  <c r="AM34" i="13"/>
  <c r="G35" i="25"/>
  <c r="AI33" i="13"/>
  <c r="AI32" i="13"/>
  <c r="AK32" i="13"/>
  <c r="AN32" i="13"/>
  <c r="AI31" i="13"/>
  <c r="AK31" i="13"/>
  <c r="AI30" i="13"/>
  <c r="AK30" i="13"/>
  <c r="AI29" i="13"/>
  <c r="AK29" i="13"/>
  <c r="AL29" i="13"/>
  <c r="AI28" i="13"/>
  <c r="AK28" i="13"/>
  <c r="AI27" i="13"/>
  <c r="AI26" i="13"/>
  <c r="AK26" i="13"/>
  <c r="AN26" i="13"/>
  <c r="AI25" i="13"/>
  <c r="AK25" i="13"/>
  <c r="AI24" i="13"/>
  <c r="AI23" i="13"/>
  <c r="AK23" i="13"/>
  <c r="AN23" i="13"/>
  <c r="AI22" i="13"/>
  <c r="AK22" i="13"/>
  <c r="AI21" i="13"/>
  <c r="AK21" i="13"/>
  <c r="AN21" i="13"/>
  <c r="AI20" i="13"/>
  <c r="AK20" i="13"/>
  <c r="AL20" i="13"/>
  <c r="AI19" i="13"/>
  <c r="F20" i="25"/>
  <c r="AI18" i="13"/>
  <c r="AK18" i="13"/>
  <c r="AL18" i="13"/>
  <c r="AI17" i="13"/>
  <c r="AI16" i="13"/>
  <c r="AK16" i="13"/>
  <c r="AM16" i="13"/>
  <c r="G17" i="25"/>
  <c r="AI15" i="13"/>
  <c r="F16" i="25"/>
  <c r="AI14" i="13"/>
  <c r="AK14" i="13"/>
  <c r="AM14" i="13"/>
  <c r="G15" i="25"/>
  <c r="AI13" i="13"/>
  <c r="AK13" i="13"/>
  <c r="AO13" i="13"/>
  <c r="AI12" i="13"/>
  <c r="AK12" i="13"/>
  <c r="AM12" i="13"/>
  <c r="G13" i="25"/>
  <c r="AI11" i="13"/>
  <c r="AI10" i="13"/>
  <c r="AK10" i="13"/>
  <c r="AI9" i="13"/>
  <c r="AK9" i="13"/>
  <c r="AM9" i="13"/>
  <c r="G10" i="25"/>
  <c r="AI8" i="13"/>
  <c r="AK8" i="13"/>
  <c r="AA76" i="13"/>
  <c r="Z76" i="13"/>
  <c r="Y76" i="13"/>
  <c r="O77" i="13"/>
  <c r="Q76" i="13"/>
  <c r="Q24" i="13"/>
  <c r="C7" i="5"/>
  <c r="D7" i="5"/>
  <c r="E7" i="5" s="1"/>
  <c r="F7" i="5" s="1"/>
  <c r="G7" i="5" s="1"/>
  <c r="H7" i="5" s="1"/>
  <c r="I7" i="5" s="1"/>
  <c r="E6" i="2"/>
  <c r="E7" i="2"/>
  <c r="E8" i="2"/>
  <c r="E9" i="2"/>
  <c r="E10" i="2"/>
  <c r="E11" i="2"/>
  <c r="G11" i="2"/>
  <c r="H11" i="2" s="1"/>
  <c r="E12" i="2"/>
  <c r="G12" i="2" s="1"/>
  <c r="H12" i="2" s="1"/>
  <c r="E13" i="2"/>
  <c r="E14" i="2"/>
  <c r="G14" i="2" s="1"/>
  <c r="H14" i="2" s="1"/>
  <c r="E15" i="2"/>
  <c r="E16" i="2"/>
  <c r="G16" i="2" s="1"/>
  <c r="H16" i="2" s="1"/>
  <c r="E17" i="2"/>
  <c r="E18" i="2"/>
  <c r="E19" i="2"/>
  <c r="E20" i="2"/>
  <c r="G20" i="2"/>
  <c r="H20" i="2" s="1"/>
  <c r="E21" i="2"/>
  <c r="G21" i="2" s="1"/>
  <c r="H21" i="2" s="1"/>
  <c r="E22" i="2"/>
  <c r="E23" i="2"/>
  <c r="E24" i="2"/>
  <c r="G24" i="2" s="1"/>
  <c r="H24" i="2" s="1"/>
  <c r="E25" i="2"/>
  <c r="E26" i="2"/>
  <c r="G26" i="2" s="1"/>
  <c r="H26" i="2" s="1"/>
  <c r="E27" i="2"/>
  <c r="E28" i="2"/>
  <c r="G28" i="2"/>
  <c r="H28" i="2" s="1"/>
  <c r="E29" i="2"/>
  <c r="E30" i="2"/>
  <c r="E31" i="2"/>
  <c r="E32" i="2"/>
  <c r="G32" i="2"/>
  <c r="H32" i="2" s="1"/>
  <c r="E33" i="2"/>
  <c r="E34" i="2"/>
  <c r="E35" i="2"/>
  <c r="E36" i="2"/>
  <c r="G36" i="2" s="1"/>
  <c r="H36" i="2" s="1"/>
  <c r="E37" i="2"/>
  <c r="E38" i="2"/>
  <c r="E39" i="2"/>
  <c r="E40" i="2"/>
  <c r="G40" i="2"/>
  <c r="H40" i="2" s="1"/>
  <c r="E41" i="2"/>
  <c r="E42" i="2"/>
  <c r="E43" i="2"/>
  <c r="G43" i="2" s="1"/>
  <c r="H43" i="2" s="1"/>
  <c r="E44" i="2"/>
  <c r="G44" i="2"/>
  <c r="H44" i="2" s="1"/>
  <c r="E45" i="2"/>
  <c r="G45" i="2" s="1"/>
  <c r="H45" i="2" s="1"/>
  <c r="E46" i="2"/>
  <c r="E47" i="2"/>
  <c r="G47" i="2" s="1"/>
  <c r="H47" i="2" s="1"/>
  <c r="E48" i="2"/>
  <c r="E49" i="2"/>
  <c r="E50" i="2"/>
  <c r="G50" i="2" s="1"/>
  <c r="H50" i="2" s="1"/>
  <c r="E51" i="2"/>
  <c r="E52" i="2"/>
  <c r="E53" i="2"/>
  <c r="E54" i="2"/>
  <c r="G54" i="2" s="1"/>
  <c r="H54" i="2" s="1"/>
  <c r="E55" i="2"/>
  <c r="E56" i="2"/>
  <c r="E57" i="2"/>
  <c r="E58" i="2"/>
  <c r="E59" i="2"/>
  <c r="E60" i="2"/>
  <c r="E61" i="2"/>
  <c r="E62" i="2"/>
  <c r="G62" i="2" s="1"/>
  <c r="H62" i="2" s="1"/>
  <c r="E63" i="2"/>
  <c r="E64" i="2"/>
  <c r="E65" i="2"/>
  <c r="E66" i="2"/>
  <c r="G66" i="2" s="1"/>
  <c r="H66" i="2" s="1"/>
  <c r="E67" i="2"/>
  <c r="E68" i="2"/>
  <c r="E69" i="2"/>
  <c r="E70" i="2"/>
  <c r="E71" i="2"/>
  <c r="E72" i="2"/>
  <c r="E73" i="2"/>
  <c r="G73" i="2"/>
  <c r="H73" i="2" s="1"/>
  <c r="E74" i="2"/>
  <c r="D75" i="2"/>
  <c r="E44" i="81"/>
  <c r="H44" i="81" s="1"/>
  <c r="Q9" i="13"/>
  <c r="X9" i="13"/>
  <c r="X8" i="13"/>
  <c r="Q10" i="13"/>
  <c r="X10" i="13"/>
  <c r="Q11" i="13"/>
  <c r="X11" i="13"/>
  <c r="Q12" i="13"/>
  <c r="X12" i="13"/>
  <c r="Q13" i="13"/>
  <c r="X13" i="13"/>
  <c r="Q14" i="13"/>
  <c r="X14" i="13"/>
  <c r="Q15" i="13"/>
  <c r="X15" i="13"/>
  <c r="Q16" i="13"/>
  <c r="X16" i="13"/>
  <c r="Q17" i="13"/>
  <c r="X17" i="13"/>
  <c r="Q18" i="13"/>
  <c r="X18" i="13"/>
  <c r="Q19" i="13"/>
  <c r="X19" i="13"/>
  <c r="Q20" i="13"/>
  <c r="X20" i="13"/>
  <c r="Q21" i="13"/>
  <c r="X21" i="13"/>
  <c r="Q22" i="13"/>
  <c r="X22" i="13"/>
  <c r="Q23" i="13"/>
  <c r="X23" i="13"/>
  <c r="X24" i="13"/>
  <c r="Q25" i="13"/>
  <c r="X25" i="13"/>
  <c r="Q26" i="13"/>
  <c r="X26" i="13"/>
  <c r="Q27" i="13"/>
  <c r="X27" i="13"/>
  <c r="Q28" i="13"/>
  <c r="X28" i="13"/>
  <c r="Q29" i="13"/>
  <c r="X29" i="13"/>
  <c r="Q30" i="13"/>
  <c r="X30" i="13"/>
  <c r="Q31" i="13"/>
  <c r="X31" i="13"/>
  <c r="Q32" i="13"/>
  <c r="X32" i="13"/>
  <c r="Q33" i="13"/>
  <c r="X33" i="13"/>
  <c r="Q34" i="13"/>
  <c r="X34" i="13"/>
  <c r="Q35" i="13"/>
  <c r="X35" i="13"/>
  <c r="Q36" i="13"/>
  <c r="X36" i="13"/>
  <c r="Q37" i="13"/>
  <c r="X37" i="13"/>
  <c r="Q38" i="13"/>
  <c r="X38" i="13"/>
  <c r="Q39" i="13"/>
  <c r="X39" i="13"/>
  <c r="Q40" i="13"/>
  <c r="X40" i="13"/>
  <c r="Q41" i="13"/>
  <c r="X41" i="13"/>
  <c r="Q42" i="13"/>
  <c r="X42" i="13"/>
  <c r="Q43" i="13"/>
  <c r="X43" i="13"/>
  <c r="Q44" i="13"/>
  <c r="X44" i="13"/>
  <c r="Q45" i="13"/>
  <c r="X45" i="13"/>
  <c r="Q46" i="13"/>
  <c r="X46" i="13"/>
  <c r="Q47" i="13"/>
  <c r="X47" i="13"/>
  <c r="Q48" i="13"/>
  <c r="X48" i="13"/>
  <c r="Q49" i="13"/>
  <c r="X49" i="13"/>
  <c r="Q50" i="13"/>
  <c r="X50" i="13"/>
  <c r="Q51" i="13"/>
  <c r="X51" i="13"/>
  <c r="Q52" i="13"/>
  <c r="X52" i="13"/>
  <c r="Q53" i="13"/>
  <c r="X53" i="13"/>
  <c r="Q54" i="13"/>
  <c r="X54" i="13"/>
  <c r="Q55" i="13"/>
  <c r="X55" i="13"/>
  <c r="Q56" i="13"/>
  <c r="X56" i="13"/>
  <c r="Q57" i="13"/>
  <c r="X57" i="13"/>
  <c r="Q58" i="13"/>
  <c r="X58" i="13"/>
  <c r="Q59" i="13"/>
  <c r="X59" i="13"/>
  <c r="Q60" i="13"/>
  <c r="X60" i="13"/>
  <c r="Q61" i="13"/>
  <c r="X61" i="13"/>
  <c r="Q62" i="13"/>
  <c r="X62" i="13"/>
  <c r="Q63" i="13"/>
  <c r="X63" i="13"/>
  <c r="Q64" i="13"/>
  <c r="X64" i="13"/>
  <c r="Q65" i="13"/>
  <c r="X65" i="13"/>
  <c r="Q66" i="13"/>
  <c r="X66" i="13"/>
  <c r="Q67" i="13"/>
  <c r="X67" i="13"/>
  <c r="Q68" i="13"/>
  <c r="X68" i="13"/>
  <c r="Q69" i="13"/>
  <c r="X69" i="13"/>
  <c r="Q70" i="13"/>
  <c r="X70" i="13"/>
  <c r="Q71" i="13"/>
  <c r="X71" i="13"/>
  <c r="Q72" i="13"/>
  <c r="X72" i="13"/>
  <c r="Q73" i="13"/>
  <c r="X73" i="13"/>
  <c r="Q74" i="13"/>
  <c r="X74" i="13"/>
  <c r="Q75" i="13"/>
  <c r="X75" i="13"/>
  <c r="C6" i="33"/>
  <c r="D6" i="33" s="1"/>
  <c r="E6" i="33" s="1"/>
  <c r="F6" i="33" s="1"/>
  <c r="G6" i="33" s="1"/>
  <c r="H6" i="33" s="1"/>
  <c r="I6" i="33" s="1"/>
  <c r="J6" i="33" s="1"/>
  <c r="K6" i="33" s="1"/>
  <c r="L6" i="33" s="1"/>
  <c r="M6" i="33" s="1"/>
  <c r="N6" i="33" s="1"/>
  <c r="O6" i="33" s="1"/>
  <c r="P6" i="33" s="1"/>
  <c r="Q6" i="33" s="1"/>
  <c r="R6" i="33" s="1"/>
  <c r="S6" i="33" s="1"/>
  <c r="T6" i="33" s="1"/>
  <c r="U6" i="33" s="1"/>
  <c r="V6" i="33" s="1"/>
  <c r="W6" i="33" s="1"/>
  <c r="I6" i="13"/>
  <c r="J6" i="13"/>
  <c r="K6" i="13"/>
  <c r="L6" i="13"/>
  <c r="M6" i="13"/>
  <c r="N6" i="13"/>
  <c r="O6" i="13"/>
  <c r="P6" i="13"/>
  <c r="Q6" i="13"/>
  <c r="R6" i="13"/>
  <c r="S6" i="13"/>
  <c r="T6" i="13"/>
  <c r="U6" i="13"/>
  <c r="V6" i="13"/>
  <c r="W6" i="13"/>
  <c r="X6" i="13"/>
  <c r="Y6" i="13"/>
  <c r="Z6" i="13"/>
  <c r="AA6" i="13"/>
  <c r="AB6" i="13"/>
  <c r="AC6" i="13"/>
  <c r="AD6" i="13"/>
  <c r="AE6" i="13"/>
  <c r="AF6" i="13"/>
  <c r="AG6" i="13"/>
  <c r="AH6" i="13"/>
  <c r="AI6" i="13"/>
  <c r="AJ6" i="13"/>
  <c r="AK6" i="13"/>
  <c r="AL6" i="13"/>
  <c r="AM6" i="13"/>
  <c r="AN6" i="13"/>
  <c r="AO6" i="13"/>
  <c r="AP6" i="13"/>
  <c r="AQ6" i="13"/>
  <c r="AR6" i="13"/>
  <c r="D6" i="13"/>
  <c r="D7" i="25"/>
  <c r="E7" i="25"/>
  <c r="F7" i="25"/>
  <c r="G7" i="25"/>
  <c r="H7" i="25"/>
  <c r="I7" i="25"/>
  <c r="J7" i="25"/>
  <c r="N4" i="1"/>
  <c r="C75" i="2"/>
  <c r="F60" i="25"/>
  <c r="AP77" i="13"/>
  <c r="E35" i="81"/>
  <c r="H35" i="81" s="1"/>
  <c r="AA8" i="13"/>
  <c r="AA9" i="13"/>
  <c r="AA10" i="13"/>
  <c r="AA11" i="13"/>
  <c r="AA12" i="13"/>
  <c r="AA13" i="13"/>
  <c r="AA14" i="13"/>
  <c r="AA15" i="13"/>
  <c r="AA16" i="13"/>
  <c r="AA17" i="13"/>
  <c r="AA18" i="13"/>
  <c r="AA19" i="13"/>
  <c r="AA20" i="13"/>
  <c r="AA21" i="13"/>
  <c r="AA22" i="13"/>
  <c r="AA23" i="13"/>
  <c r="AA24" i="13"/>
  <c r="AA25" i="13"/>
  <c r="AA26" i="13"/>
  <c r="AA27" i="13"/>
  <c r="AA28" i="13"/>
  <c r="AA29" i="13"/>
  <c r="AA30" i="13"/>
  <c r="AA31" i="13"/>
  <c r="AA32" i="13"/>
  <c r="AA33" i="13"/>
  <c r="AA34" i="13"/>
  <c r="AA35" i="13"/>
  <c r="AA36" i="13"/>
  <c r="AA37" i="13"/>
  <c r="AA38" i="13"/>
  <c r="AA39" i="13"/>
  <c r="AA40" i="13"/>
  <c r="AA41" i="13"/>
  <c r="AA42" i="13"/>
  <c r="AA43" i="13"/>
  <c r="AA44" i="13"/>
  <c r="AA45" i="13"/>
  <c r="AA46" i="13"/>
  <c r="AA47" i="13"/>
  <c r="AA48" i="13"/>
  <c r="AA49" i="13"/>
  <c r="AA50" i="13"/>
  <c r="AA51" i="13"/>
  <c r="AA52" i="13"/>
  <c r="AA53" i="13"/>
  <c r="AA54" i="13"/>
  <c r="AA55" i="13"/>
  <c r="AA56" i="13"/>
  <c r="AA57" i="13"/>
  <c r="AA58" i="13"/>
  <c r="AA59" i="13"/>
  <c r="AA60" i="13"/>
  <c r="AA61" i="13"/>
  <c r="AA62" i="13"/>
  <c r="AA63" i="13"/>
  <c r="AA64" i="13"/>
  <c r="AA65" i="13"/>
  <c r="AA66" i="13"/>
  <c r="AA67" i="13"/>
  <c r="AA68" i="13"/>
  <c r="AA69" i="13"/>
  <c r="AA70" i="13"/>
  <c r="AA71" i="13"/>
  <c r="AA72" i="13"/>
  <c r="AA73" i="13"/>
  <c r="AA74" i="13"/>
  <c r="AA75" i="13"/>
  <c r="Z21" i="13"/>
  <c r="Z8" i="13"/>
  <c r="Z9" i="13"/>
  <c r="Z10" i="13"/>
  <c r="Z11" i="13"/>
  <c r="Z12" i="13"/>
  <c r="Z13" i="13"/>
  <c r="Z14" i="13"/>
  <c r="Z15" i="13"/>
  <c r="Z16" i="13"/>
  <c r="Z17" i="13"/>
  <c r="Z18" i="13"/>
  <c r="Z19" i="13"/>
  <c r="Z20" i="13"/>
  <c r="Z22" i="13"/>
  <c r="Z23" i="13"/>
  <c r="Z24" i="13"/>
  <c r="Z25" i="13"/>
  <c r="Z26" i="13"/>
  <c r="Z27" i="13"/>
  <c r="Z28" i="13"/>
  <c r="Z29" i="13"/>
  <c r="Z30" i="13"/>
  <c r="Z31" i="13"/>
  <c r="Z32" i="13"/>
  <c r="Z33" i="13"/>
  <c r="Z34" i="13"/>
  <c r="Z35" i="13"/>
  <c r="Z36" i="13"/>
  <c r="Z37" i="13"/>
  <c r="Z38" i="13"/>
  <c r="Z39" i="13"/>
  <c r="Z40" i="13"/>
  <c r="Z41" i="13"/>
  <c r="Z42" i="13"/>
  <c r="Z43" i="13"/>
  <c r="Z44" i="13"/>
  <c r="Z45" i="13"/>
  <c r="Z46" i="13"/>
  <c r="Z47" i="13"/>
  <c r="Z48" i="13"/>
  <c r="Z49" i="13"/>
  <c r="Z50" i="13"/>
  <c r="Z51" i="13"/>
  <c r="Z52" i="13"/>
  <c r="Z53" i="13"/>
  <c r="Z54" i="13"/>
  <c r="Z55" i="13"/>
  <c r="Z56" i="13"/>
  <c r="Z57" i="13"/>
  <c r="Z58" i="13"/>
  <c r="Z59" i="13"/>
  <c r="Z60" i="13"/>
  <c r="Z61" i="13"/>
  <c r="Z62" i="13"/>
  <c r="Z63" i="13"/>
  <c r="Z64" i="13"/>
  <c r="Z65" i="13"/>
  <c r="Z66" i="13"/>
  <c r="Z67" i="13"/>
  <c r="Z68" i="13"/>
  <c r="Z70" i="13"/>
  <c r="Z71" i="13"/>
  <c r="Z72" i="13"/>
  <c r="Z73" i="13"/>
  <c r="Z74" i="13"/>
  <c r="Z75" i="13"/>
  <c r="W77" i="13"/>
  <c r="S77" i="13"/>
  <c r="P77" i="13"/>
  <c r="L77" i="13"/>
  <c r="J77" i="13"/>
  <c r="C77" i="13"/>
  <c r="Y75" i="13"/>
  <c r="Y74" i="13"/>
  <c r="Y73" i="13"/>
  <c r="Y72" i="13"/>
  <c r="Y71" i="13"/>
  <c r="Y70" i="13"/>
  <c r="Y69" i="13"/>
  <c r="Y68" i="13"/>
  <c r="Y67" i="13"/>
  <c r="Y66" i="13"/>
  <c r="Y65" i="13"/>
  <c r="Y64" i="13"/>
  <c r="Y63" i="13"/>
  <c r="Y62" i="13"/>
  <c r="Y61" i="13"/>
  <c r="Y60" i="13"/>
  <c r="Y59" i="13"/>
  <c r="Y58" i="13"/>
  <c r="Y57" i="13"/>
  <c r="Y56" i="13"/>
  <c r="Y55" i="13"/>
  <c r="Y54" i="13"/>
  <c r="Y53" i="13"/>
  <c r="Y52" i="13"/>
  <c r="Y51" i="13"/>
  <c r="Y50" i="13"/>
  <c r="Y49" i="13"/>
  <c r="Y48" i="13"/>
  <c r="Y47" i="13"/>
  <c r="Y46" i="13"/>
  <c r="Y45" i="13"/>
  <c r="Y44" i="13"/>
  <c r="Y43" i="13"/>
  <c r="Y42" i="13"/>
  <c r="Y41" i="13"/>
  <c r="Y40" i="13"/>
  <c r="Y39" i="13"/>
  <c r="Y38" i="13"/>
  <c r="Y37" i="13"/>
  <c r="Y36" i="13"/>
  <c r="Y35" i="13"/>
  <c r="Y34" i="13"/>
  <c r="Y33" i="13"/>
  <c r="Y32" i="13"/>
  <c r="Y31" i="13"/>
  <c r="Y30" i="13"/>
  <c r="Y29" i="13"/>
  <c r="Y28" i="13"/>
  <c r="Y27" i="13"/>
  <c r="Y26" i="13"/>
  <c r="Y25" i="13"/>
  <c r="Y24" i="13"/>
  <c r="Y23" i="13"/>
  <c r="Y22" i="13"/>
  <c r="Y21" i="13"/>
  <c r="Y20" i="13"/>
  <c r="Y19" i="13"/>
  <c r="Y18" i="13"/>
  <c r="Y17" i="13"/>
  <c r="Y16" i="13"/>
  <c r="Y15" i="13"/>
  <c r="Y14" i="13"/>
  <c r="Y13" i="13"/>
  <c r="Y12" i="13"/>
  <c r="Y11" i="13"/>
  <c r="Y10" i="13"/>
  <c r="Y9" i="13"/>
  <c r="Y8" i="13"/>
  <c r="AN19" i="13"/>
  <c r="AO19" i="13"/>
  <c r="D77" i="13"/>
  <c r="G13" i="46"/>
  <c r="G30" i="31"/>
  <c r="AK39" i="13"/>
  <c r="AL39" i="13"/>
  <c r="F40" i="25"/>
  <c r="AJ77" i="13"/>
  <c r="AM19" i="13"/>
  <c r="G20" i="25"/>
  <c r="AL19" i="13"/>
  <c r="D5" i="2"/>
  <c r="E5" i="2" s="1"/>
  <c r="F5" i="2" s="1"/>
  <c r="G5" i="2" s="1"/>
  <c r="H5" i="2" s="1"/>
  <c r="I5" i="2" s="1"/>
  <c r="J5" i="2" s="1"/>
  <c r="AZ77" i="1"/>
  <c r="AC28" i="13"/>
  <c r="Q16" i="1"/>
  <c r="F32" i="25"/>
  <c r="G64" i="13"/>
  <c r="AC48" i="13"/>
  <c r="F65" i="25"/>
  <c r="AC73" i="13"/>
  <c r="AC61" i="13"/>
  <c r="AC57" i="13"/>
  <c r="AC45" i="13"/>
  <c r="AC39" i="13"/>
  <c r="Q70" i="1"/>
  <c r="G29" i="13"/>
  <c r="AB37" i="13"/>
  <c r="AC21" i="13"/>
  <c r="F38" i="25"/>
  <c r="Q51" i="1"/>
  <c r="Q59" i="1"/>
  <c r="Q36" i="1"/>
  <c r="F43" i="25"/>
  <c r="F14" i="25"/>
  <c r="F55" i="25"/>
  <c r="F75" i="25"/>
  <c r="G54" i="13"/>
  <c r="F59" i="25"/>
  <c r="AC74" i="13"/>
  <c r="AC66" i="13"/>
  <c r="AC62" i="13"/>
  <c r="AC54" i="13"/>
  <c r="AC38" i="13"/>
  <c r="AB75" i="13"/>
  <c r="F74" i="25"/>
  <c r="G12" i="13"/>
  <c r="F49" i="25"/>
  <c r="F62" i="25"/>
  <c r="AB28" i="13"/>
  <c r="G28" i="13"/>
  <c r="F66" i="25"/>
  <c r="AC55" i="13"/>
  <c r="AC47" i="13"/>
  <c r="AB8" i="13"/>
  <c r="AO16" i="13"/>
  <c r="F70" i="25"/>
  <c r="AC12" i="13"/>
  <c r="AC20" i="13"/>
  <c r="F22" i="25"/>
  <c r="G8" i="13"/>
  <c r="F76" i="25"/>
  <c r="H8" i="13"/>
  <c r="D9" i="25"/>
  <c r="AL26" i="13"/>
  <c r="F72" i="25"/>
  <c r="G65" i="13"/>
  <c r="G16" i="13"/>
  <c r="G69" i="13"/>
  <c r="AB23" i="13"/>
  <c r="F11" i="25"/>
  <c r="G24" i="13"/>
  <c r="G57" i="13"/>
  <c r="AB65" i="13"/>
  <c r="AC15" i="13"/>
  <c r="AC8" i="13"/>
  <c r="H5" i="67"/>
  <c r="I5" i="67"/>
  <c r="J5" i="67"/>
  <c r="K5" i="67"/>
  <c r="L5" i="67"/>
  <c r="M5" i="67"/>
  <c r="N5" i="67"/>
  <c r="O5" i="67"/>
  <c r="P5" i="67"/>
  <c r="Q5" i="67"/>
  <c r="R5" i="67"/>
  <c r="S5" i="67"/>
  <c r="T5" i="67"/>
  <c r="U5" i="67"/>
  <c r="V5" i="67"/>
  <c r="Q67" i="1"/>
  <c r="Q55" i="1"/>
  <c r="Q47" i="1"/>
  <c r="Q27" i="1"/>
  <c r="AC42" i="13"/>
  <c r="AM20" i="13"/>
  <c r="G21" i="25"/>
  <c r="G58" i="13"/>
  <c r="AC25" i="13"/>
  <c r="G46" i="13"/>
  <c r="G62" i="13"/>
  <c r="G74" i="13"/>
  <c r="AK60" i="13"/>
  <c r="AO60" i="13"/>
  <c r="Q74" i="1"/>
  <c r="Q64" i="1"/>
  <c r="Q42" i="1"/>
  <c r="Q22" i="1"/>
  <c r="Q32" i="1"/>
  <c r="Q11" i="1"/>
  <c r="AN16" i="13"/>
  <c r="F50" i="25"/>
  <c r="F71" i="25"/>
  <c r="G21" i="13"/>
  <c r="AC29" i="13"/>
  <c r="AB18" i="13"/>
  <c r="AL32" i="13"/>
  <c r="AL16" i="13"/>
  <c r="F21" i="25"/>
  <c r="AB21" i="13"/>
  <c r="AC64" i="13"/>
  <c r="AB52" i="13"/>
  <c r="AB48" i="13"/>
  <c r="AL12" i="13"/>
  <c r="F9" i="25"/>
  <c r="F46" i="25"/>
  <c r="G52" i="13"/>
  <c r="AC68" i="13"/>
  <c r="AC52" i="13"/>
  <c r="AC26" i="13"/>
  <c r="AE11" i="13"/>
  <c r="C12" i="25"/>
  <c r="AK52" i="13"/>
  <c r="AM52" i="13"/>
  <c r="G53" i="25"/>
  <c r="AK44" i="13"/>
  <c r="AL44" i="13"/>
  <c r="AK68" i="13"/>
  <c r="AL68" i="13"/>
  <c r="X79" i="13"/>
  <c r="AM26" i="13"/>
  <c r="G27" i="25"/>
  <c r="F27" i="25"/>
  <c r="F39" i="25"/>
  <c r="AC9" i="13"/>
  <c r="G33" i="13"/>
  <c r="Q73" i="1"/>
  <c r="Q69" i="1"/>
  <c r="Q63" i="1"/>
  <c r="Q58" i="1"/>
  <c r="Q54" i="1"/>
  <c r="Q50" i="1"/>
  <c r="Q46" i="1"/>
  <c r="Q40" i="1"/>
  <c r="Q35" i="1"/>
  <c r="Q31" i="1"/>
  <c r="Q26" i="1"/>
  <c r="Q20" i="1"/>
  <c r="Q15" i="1"/>
  <c r="Q10" i="1"/>
  <c r="H37" i="13"/>
  <c r="D38" i="25"/>
  <c r="AB31" i="13"/>
  <c r="AN70" i="13"/>
  <c r="AM18" i="13"/>
  <c r="G19" i="25"/>
  <c r="Q77" i="1"/>
  <c r="E9" i="81"/>
  <c r="H9" i="81" s="1"/>
  <c r="F15" i="25"/>
  <c r="G38" i="13"/>
  <c r="AC60" i="13"/>
  <c r="Q76" i="1"/>
  <c r="Q72" i="1"/>
  <c r="Q68" i="1"/>
  <c r="Q66" i="1"/>
  <c r="Q62" i="1"/>
  <c r="Q52" i="1"/>
  <c r="Q48" i="1"/>
  <c r="Q44" i="1"/>
  <c r="Q39" i="1"/>
  <c r="Q34" i="1"/>
  <c r="Q30" i="1"/>
  <c r="Q24" i="1"/>
  <c r="Q19" i="1"/>
  <c r="Q14" i="1"/>
  <c r="Q8" i="1"/>
  <c r="F35" i="25"/>
  <c r="F44" i="25"/>
  <c r="G9" i="13"/>
  <c r="G17" i="13"/>
  <c r="G45" i="13"/>
  <c r="AB33" i="13"/>
  <c r="Q75" i="1"/>
  <c r="Q71" i="1"/>
  <c r="Q65" i="1"/>
  <c r="Q60" i="1"/>
  <c r="Q56" i="1"/>
  <c r="Q43" i="1"/>
  <c r="Q38" i="1"/>
  <c r="Q28" i="1"/>
  <c r="Q23" i="1"/>
  <c r="Q18" i="1"/>
  <c r="AI81" i="13"/>
  <c r="G16" i="81"/>
  <c r="G17" i="81"/>
  <c r="G27" i="2"/>
  <c r="H27" i="2" s="1"/>
  <c r="G72" i="2"/>
  <c r="H72" i="2" s="1"/>
  <c r="G68" i="2"/>
  <c r="H68" i="2" s="1"/>
  <c r="G64" i="2"/>
  <c r="H64" i="2" s="1"/>
  <c r="G60" i="2"/>
  <c r="H60" i="2" s="1"/>
  <c r="G56" i="2"/>
  <c r="H56" i="2" s="1"/>
  <c r="G52" i="2"/>
  <c r="H52" i="2" s="1"/>
  <c r="G48" i="2"/>
  <c r="H48" i="2" s="1"/>
  <c r="G8" i="2"/>
  <c r="H8" i="2" s="1"/>
  <c r="G63" i="2"/>
  <c r="H63" i="2" s="1"/>
  <c r="G55" i="2"/>
  <c r="H55" i="2" s="1"/>
  <c r="F77" i="1"/>
  <c r="E9" i="1"/>
  <c r="G69" i="2"/>
  <c r="H69" i="2" s="1"/>
  <c r="G9" i="2"/>
  <c r="H9" i="2" s="1"/>
  <c r="G33" i="2"/>
  <c r="H33" i="2" s="1"/>
  <c r="AK46" i="13"/>
  <c r="AO46" i="13"/>
  <c r="F47" i="25"/>
  <c r="F54" i="25"/>
  <c r="AK35" i="13"/>
  <c r="AN35" i="13"/>
  <c r="F36" i="25"/>
  <c r="AK40" i="13"/>
  <c r="AL40" i="13"/>
  <c r="F41" i="25"/>
  <c r="AE20" i="13"/>
  <c r="AD20" i="13"/>
  <c r="AB20" i="13"/>
  <c r="AK56" i="13"/>
  <c r="AL56" i="13"/>
  <c r="F57" i="25"/>
  <c r="AE69" i="13"/>
  <c r="C70" i="25"/>
  <c r="AC69" i="13"/>
  <c r="AE49" i="13"/>
  <c r="AQ49" i="13"/>
  <c r="Y49" i="1"/>
  <c r="AC49" i="13"/>
  <c r="AK50" i="13"/>
  <c r="AN50" i="13"/>
  <c r="F51" i="25"/>
  <c r="AK62" i="13"/>
  <c r="AL62" i="13"/>
  <c r="F63" i="25"/>
  <c r="AK66" i="13"/>
  <c r="AN66" i="13"/>
  <c r="F67" i="25"/>
  <c r="AK72" i="13"/>
  <c r="AO72" i="13"/>
  <c r="F73" i="25"/>
  <c r="AE50" i="13"/>
  <c r="C51" i="25"/>
  <c r="AE42" i="13"/>
  <c r="AE40" i="13"/>
  <c r="AD40" i="13"/>
  <c r="AE38" i="13"/>
  <c r="C39" i="25"/>
  <c r="H42" i="13"/>
  <c r="D43" i="25"/>
  <c r="G42" i="13"/>
  <c r="H68" i="13"/>
  <c r="D69" i="25"/>
  <c r="G68" i="13"/>
  <c r="H61" i="13"/>
  <c r="D62" i="25"/>
  <c r="G61" i="13"/>
  <c r="H20" i="13"/>
  <c r="D21" i="25"/>
  <c r="G20" i="13"/>
  <c r="G48" i="13"/>
  <c r="AN51" i="13"/>
  <c r="F10" i="25"/>
  <c r="F17" i="25"/>
  <c r="F29" i="25"/>
  <c r="F37" i="25"/>
  <c r="F42" i="25"/>
  <c r="F52" i="25"/>
  <c r="F58" i="25"/>
  <c r="F68" i="25"/>
  <c r="AB38" i="13"/>
  <c r="G23" i="46"/>
  <c r="AE47" i="13"/>
  <c r="C48" i="25"/>
  <c r="AE45" i="13"/>
  <c r="C46" i="25"/>
  <c r="AE35" i="13"/>
  <c r="AQ35" i="13"/>
  <c r="Y35" i="1"/>
  <c r="AE27" i="13"/>
  <c r="C28" i="25"/>
  <c r="G25" i="2"/>
  <c r="H25" i="2" s="1"/>
  <c r="I78" i="25"/>
  <c r="C36" i="46"/>
  <c r="H60" i="13"/>
  <c r="D61" i="25"/>
  <c r="G35" i="2"/>
  <c r="H35" i="2" s="1"/>
  <c r="AN69" i="13"/>
  <c r="AO43" i="13"/>
  <c r="AM69" i="13"/>
  <c r="G70" i="25"/>
  <c r="AO61" i="13"/>
  <c r="AN34" i="13"/>
  <c r="AL61" i="13"/>
  <c r="AN75" i="13"/>
  <c r="AM59" i="13"/>
  <c r="G60" i="25"/>
  <c r="AL69" i="13"/>
  <c r="AM45" i="13"/>
  <c r="G46" i="25"/>
  <c r="AM75" i="13"/>
  <c r="G76" i="25"/>
  <c r="AO67" i="13"/>
  <c r="AN61" i="13"/>
  <c r="AO53" i="13"/>
  <c r="AM51" i="13"/>
  <c r="G52" i="25"/>
  <c r="AN43" i="13"/>
  <c r="AL34" i="13"/>
  <c r="F64" i="25"/>
  <c r="AM53" i="13"/>
  <c r="G54" i="25"/>
  <c r="AL45" i="13"/>
  <c r="AN67" i="13"/>
  <c r="AO59" i="13"/>
  <c r="AN53" i="13"/>
  <c r="AO45" i="13"/>
  <c r="AM43" i="13"/>
  <c r="G44" i="25"/>
  <c r="F56" i="25"/>
  <c r="AK76" i="13"/>
  <c r="AL76" i="13"/>
  <c r="AO75" i="13"/>
  <c r="AM67" i="13"/>
  <c r="G68" i="25"/>
  <c r="AN59" i="13"/>
  <c r="AO51" i="13"/>
  <c r="AO34" i="13"/>
  <c r="F13" i="25"/>
  <c r="F48" i="25"/>
  <c r="AK15" i="13"/>
  <c r="AO15" i="13"/>
  <c r="AB35" i="13"/>
  <c r="AB42" i="13"/>
  <c r="AE67" i="13"/>
  <c r="AD67" i="13"/>
  <c r="AE61" i="13"/>
  <c r="C62" i="25"/>
  <c r="AA77" i="13"/>
  <c r="AN60" i="13"/>
  <c r="AL54" i="13"/>
  <c r="AL14" i="13"/>
  <c r="AN25" i="13"/>
  <c r="AL25" i="13"/>
  <c r="AO25" i="13"/>
  <c r="AM25" i="13"/>
  <c r="G26" i="25"/>
  <c r="AM54" i="13"/>
  <c r="G55" i="25"/>
  <c r="AM32" i="13"/>
  <c r="G33" i="25"/>
  <c r="AO18" i="13"/>
  <c r="F23" i="25"/>
  <c r="AM70" i="13"/>
  <c r="G71" i="25"/>
  <c r="AO54" i="13"/>
  <c r="AO32" i="13"/>
  <c r="AO26" i="13"/>
  <c r="AN18" i="13"/>
  <c r="F24" i="25"/>
  <c r="F30" i="25"/>
  <c r="AI77" i="13"/>
  <c r="E34" i="81"/>
  <c r="H34" i="81" s="1"/>
  <c r="AL70" i="13"/>
  <c r="F19" i="25"/>
  <c r="F33" i="25"/>
  <c r="F26" i="25"/>
  <c r="F31" i="25"/>
  <c r="AE75" i="13"/>
  <c r="AQ75" i="13"/>
  <c r="AE43" i="13"/>
  <c r="AQ43" i="13"/>
  <c r="Y43" i="1"/>
  <c r="AE41" i="13"/>
  <c r="AQ41" i="13"/>
  <c r="Y41" i="1"/>
  <c r="AE37" i="13"/>
  <c r="AQ37" i="13"/>
  <c r="AE18" i="13"/>
  <c r="AD18" i="13"/>
  <c r="AE14" i="13"/>
  <c r="C15" i="25"/>
  <c r="AE10" i="13"/>
  <c r="AQ10" i="13"/>
  <c r="Y10" i="1"/>
  <c r="AB14" i="13"/>
  <c r="AB45" i="13"/>
  <c r="AB19" i="13"/>
  <c r="AE59" i="13"/>
  <c r="C60" i="25"/>
  <c r="AE57" i="13"/>
  <c r="AQ57" i="13"/>
  <c r="AE25" i="13"/>
  <c r="AQ25" i="13"/>
  <c r="AE74" i="13"/>
  <c r="AD74" i="13"/>
  <c r="AE72" i="13"/>
  <c r="AD72" i="13"/>
  <c r="AE70" i="13"/>
  <c r="C71" i="25"/>
  <c r="AE23" i="13"/>
  <c r="C24" i="25"/>
  <c r="AE16" i="13"/>
  <c r="AD16" i="13"/>
  <c r="AE46" i="13"/>
  <c r="C47" i="25"/>
  <c r="AE32" i="13"/>
  <c r="AD32" i="13"/>
  <c r="AE30" i="13"/>
  <c r="AQ30" i="13"/>
  <c r="AE9" i="13"/>
  <c r="AC71" i="13"/>
  <c r="AC67" i="13"/>
  <c r="AC23" i="13"/>
  <c r="AC30" i="13"/>
  <c r="AE66" i="13"/>
  <c r="AD66" i="13"/>
  <c r="AE64" i="13"/>
  <c r="AE62" i="13"/>
  <c r="C63" i="25"/>
  <c r="AE55" i="13"/>
  <c r="AD55" i="13"/>
  <c r="AC41" i="13"/>
  <c r="AC10" i="13"/>
  <c r="AC18" i="13"/>
  <c r="G70" i="2"/>
  <c r="H70" i="2" s="1"/>
  <c r="G18" i="2"/>
  <c r="H18" i="2" s="1"/>
  <c r="G34" i="2"/>
  <c r="H34" i="2" s="1"/>
  <c r="C76" i="67"/>
  <c r="E14" i="81" s="1"/>
  <c r="H14" i="81" s="1"/>
  <c r="G71" i="2"/>
  <c r="H71" i="2" s="1"/>
  <c r="G58" i="2"/>
  <c r="H58" i="2" s="1"/>
  <c r="G51" i="2"/>
  <c r="H51" i="2" s="1"/>
  <c r="G22" i="2"/>
  <c r="H22" i="2" s="1"/>
  <c r="G7" i="2"/>
  <c r="H7" i="2" s="1"/>
  <c r="AB32" i="13"/>
  <c r="AC70" i="13"/>
  <c r="G25" i="13"/>
  <c r="G40" i="13"/>
  <c r="G53" i="13"/>
  <c r="H76" i="13"/>
  <c r="D77" i="25"/>
  <c r="AB13" i="13"/>
  <c r="AC16" i="13"/>
  <c r="AC32" i="13"/>
  <c r="AC37" i="13"/>
  <c r="AB40" i="13"/>
  <c r="AB44" i="13"/>
  <c r="AB46" i="13"/>
  <c r="AC56" i="13"/>
  <c r="AC72" i="13"/>
  <c r="G13" i="13"/>
  <c r="G72" i="13"/>
  <c r="AB16" i="13"/>
  <c r="G32" i="13"/>
  <c r="G70" i="13"/>
  <c r="AC31" i="13"/>
  <c r="AC13" i="13"/>
  <c r="AC17" i="13"/>
  <c r="AC24" i="13"/>
  <c r="AC40" i="13"/>
  <c r="AC44" i="13"/>
  <c r="AC46" i="13"/>
  <c r="AB49" i="13"/>
  <c r="AB53" i="13"/>
  <c r="AB57" i="13"/>
  <c r="AB69" i="13"/>
  <c r="AB73" i="13"/>
  <c r="G44" i="13"/>
  <c r="G49" i="13"/>
  <c r="G56" i="13"/>
  <c r="G73" i="13"/>
  <c r="AB9" i="13"/>
  <c r="AC14" i="13"/>
  <c r="AC22" i="13"/>
  <c r="AB25" i="13"/>
  <c r="AC34" i="13"/>
  <c r="AB47" i="13"/>
  <c r="AB55" i="13"/>
  <c r="G18" i="13"/>
  <c r="G34" i="13"/>
  <c r="G41" i="13"/>
  <c r="AC19" i="13"/>
  <c r="H66" i="13"/>
  <c r="D67" i="25"/>
  <c r="H50" i="13"/>
  <c r="D51" i="25"/>
  <c r="H41" i="13"/>
  <c r="D42" i="25"/>
  <c r="H10" i="13"/>
  <c r="D11" i="25"/>
  <c r="H14" i="13"/>
  <c r="D15" i="25"/>
  <c r="H18" i="13"/>
  <c r="D19" i="25"/>
  <c r="H22" i="13"/>
  <c r="D23" i="25"/>
  <c r="H26" i="13"/>
  <c r="D27" i="25"/>
  <c r="H30" i="13"/>
  <c r="D31" i="25"/>
  <c r="AB76" i="13"/>
  <c r="AB10" i="13"/>
  <c r="AB26" i="13"/>
  <c r="AB30" i="13"/>
  <c r="AC35" i="13"/>
  <c r="AB41" i="13"/>
  <c r="AB50" i="13"/>
  <c r="G10" i="13"/>
  <c r="AC58" i="13"/>
  <c r="AC50" i="13"/>
  <c r="AC63" i="13"/>
  <c r="AL31" i="13"/>
  <c r="AN31" i="13"/>
  <c r="AM31" i="13"/>
  <c r="G32" i="25"/>
  <c r="Q79" i="13"/>
  <c r="Q77" i="13"/>
  <c r="AE56" i="13"/>
  <c r="AB56" i="13"/>
  <c r="AE54" i="13"/>
  <c r="C55" i="25"/>
  <c r="AB54" i="13"/>
  <c r="AE33" i="13"/>
  <c r="AC33" i="13"/>
  <c r="AE12" i="13"/>
  <c r="X77" i="13"/>
  <c r="AB12" i="13"/>
  <c r="AK17" i="13"/>
  <c r="F18" i="25"/>
  <c r="H75" i="13"/>
  <c r="D76" i="25"/>
  <c r="G75" i="13"/>
  <c r="AC75" i="13"/>
  <c r="H67" i="13"/>
  <c r="D68" i="25"/>
  <c r="G67" i="13"/>
  <c r="AB67" i="13"/>
  <c r="H59" i="13"/>
  <c r="D60" i="25"/>
  <c r="G59" i="13"/>
  <c r="AC59" i="13"/>
  <c r="AB59" i="13"/>
  <c r="H51" i="13"/>
  <c r="D52" i="25"/>
  <c r="G51" i="13"/>
  <c r="AC51" i="13"/>
  <c r="H43" i="13"/>
  <c r="D44" i="25"/>
  <c r="G43" i="13"/>
  <c r="AB43" i="13"/>
  <c r="AC43" i="13"/>
  <c r="H27" i="13"/>
  <c r="D28" i="25"/>
  <c r="G27" i="13"/>
  <c r="AB27" i="13"/>
  <c r="AC27" i="13"/>
  <c r="H11" i="13"/>
  <c r="G11" i="13"/>
  <c r="E77" i="13"/>
  <c r="G77" i="13"/>
  <c r="AB11" i="13"/>
  <c r="AC11" i="13"/>
  <c r="AE53" i="13"/>
  <c r="AC53" i="13"/>
  <c r="AB29" i="13"/>
  <c r="AE29" i="13"/>
  <c r="AE24" i="13"/>
  <c r="AB24" i="13"/>
  <c r="AK27" i="13"/>
  <c r="AN27" i="13"/>
  <c r="F28" i="25"/>
  <c r="AO31" i="13"/>
  <c r="AB61" i="13"/>
  <c r="AC65" i="13"/>
  <c r="AE65" i="13"/>
  <c r="AE39" i="13"/>
  <c r="AB39" i="13"/>
  <c r="AE34" i="13"/>
  <c r="AB34" i="13"/>
  <c r="AE76" i="13"/>
  <c r="AC76" i="13"/>
  <c r="AK11" i="13"/>
  <c r="AL11" i="13"/>
  <c r="F12" i="25"/>
  <c r="AK24" i="13"/>
  <c r="F25" i="25"/>
  <c r="H36" i="13"/>
  <c r="D37" i="25"/>
  <c r="G36" i="13"/>
  <c r="AB36" i="13"/>
  <c r="AC36" i="13"/>
  <c r="AE71" i="13"/>
  <c r="AB71" i="13"/>
  <c r="AB51" i="13"/>
  <c r="AE51" i="13"/>
  <c r="AE22" i="13"/>
  <c r="AB22" i="13"/>
  <c r="AE17" i="13"/>
  <c r="AB17" i="13"/>
  <c r="AE15" i="13"/>
  <c r="C16" i="25"/>
  <c r="AB15" i="13"/>
  <c r="AL23" i="13"/>
  <c r="AM23" i="13"/>
  <c r="G24" i="25"/>
  <c r="AO23" i="13"/>
  <c r="AK33" i="13"/>
  <c r="F34" i="25"/>
  <c r="Z77" i="13"/>
  <c r="H71" i="13"/>
  <c r="D72" i="25"/>
  <c r="G71" i="13"/>
  <c r="H63" i="13"/>
  <c r="D64" i="25"/>
  <c r="G63" i="13"/>
  <c r="H55" i="13"/>
  <c r="D56" i="25"/>
  <c r="G55" i="13"/>
  <c r="H47" i="13"/>
  <c r="D48" i="25"/>
  <c r="G47" i="13"/>
  <c r="H35" i="13"/>
  <c r="D36" i="25"/>
  <c r="G35" i="13"/>
  <c r="H19" i="13"/>
  <c r="D20" i="25"/>
  <c r="G19" i="13"/>
  <c r="AE73" i="13"/>
  <c r="AE63" i="13"/>
  <c r="AB63" i="13"/>
  <c r="AE58" i="13"/>
  <c r="AB58" i="13"/>
  <c r="AE48" i="13"/>
  <c r="AE31" i="13"/>
  <c r="AE26" i="13"/>
  <c r="AE19" i="13"/>
  <c r="AE8" i="13"/>
  <c r="AD8" i="13"/>
  <c r="H39" i="13"/>
  <c r="D40" i="25"/>
  <c r="G39" i="13"/>
  <c r="H23" i="13"/>
  <c r="D24" i="25"/>
  <c r="G23" i="13"/>
  <c r="H31" i="13"/>
  <c r="D32" i="25"/>
  <c r="G31" i="13"/>
  <c r="H15" i="13"/>
  <c r="D16" i="25"/>
  <c r="G15" i="13"/>
  <c r="AE68" i="13"/>
  <c r="C69" i="25"/>
  <c r="AE60" i="13"/>
  <c r="C61" i="25"/>
  <c r="AE52" i="13"/>
  <c r="C53" i="25"/>
  <c r="AE44" i="13"/>
  <c r="C45" i="25"/>
  <c r="AE36" i="13"/>
  <c r="AQ36" i="13"/>
  <c r="AE28" i="13"/>
  <c r="AQ28" i="13"/>
  <c r="AE21" i="13"/>
  <c r="C22" i="25"/>
  <c r="AE13" i="13"/>
  <c r="C14" i="25"/>
  <c r="Q9" i="1"/>
  <c r="Q13" i="1"/>
  <c r="Q17" i="1"/>
  <c r="Q21" i="1"/>
  <c r="Q25" i="1"/>
  <c r="Q29" i="1"/>
  <c r="Q33" i="1"/>
  <c r="Q37" i="1"/>
  <c r="Q41" i="1"/>
  <c r="Q45" i="1"/>
  <c r="Q49" i="1"/>
  <c r="Q53" i="1"/>
  <c r="Q57" i="1"/>
  <c r="Q61" i="1"/>
  <c r="F5" i="80"/>
  <c r="G5" i="80"/>
  <c r="F5" i="76"/>
  <c r="G5" i="76" s="1"/>
  <c r="F7" i="80"/>
  <c r="G7" i="80" s="1"/>
  <c r="F7" i="76"/>
  <c r="G7" i="76" s="1"/>
  <c r="F9" i="80"/>
  <c r="G9" i="80" s="1"/>
  <c r="F9" i="76"/>
  <c r="G9" i="76"/>
  <c r="F11" i="80"/>
  <c r="G11" i="80"/>
  <c r="F11" i="76"/>
  <c r="G11" i="76" s="1"/>
  <c r="F13" i="80"/>
  <c r="G13" i="80" s="1"/>
  <c r="F13" i="76"/>
  <c r="G13" i="76" s="1"/>
  <c r="F15" i="80"/>
  <c r="G15" i="80" s="1"/>
  <c r="F15" i="76"/>
  <c r="G15" i="76" s="1"/>
  <c r="F17" i="80"/>
  <c r="G17" i="80" s="1"/>
  <c r="F17" i="76"/>
  <c r="G17" i="76" s="1"/>
  <c r="F19" i="80"/>
  <c r="G19" i="80" s="1"/>
  <c r="F19" i="76"/>
  <c r="G19" i="76" s="1"/>
  <c r="F22" i="80"/>
  <c r="G22" i="80" s="1"/>
  <c r="F22" i="76"/>
  <c r="G22" i="76"/>
  <c r="F24" i="80"/>
  <c r="G24" i="80" s="1"/>
  <c r="F24" i="76"/>
  <c r="G24" i="76" s="1"/>
  <c r="F26" i="80"/>
  <c r="G26" i="80" s="1"/>
  <c r="F26" i="76"/>
  <c r="G26" i="76" s="1"/>
  <c r="F28" i="80"/>
  <c r="G28" i="80"/>
  <c r="F28" i="76"/>
  <c r="G28" i="76" s="1"/>
  <c r="F30" i="80"/>
  <c r="G30" i="80"/>
  <c r="F30" i="76"/>
  <c r="G30" i="76" s="1"/>
  <c r="F32" i="80"/>
  <c r="G32" i="80"/>
  <c r="F32" i="76"/>
  <c r="G32" i="76" s="1"/>
  <c r="F34" i="80"/>
  <c r="G34" i="80" s="1"/>
  <c r="F34" i="76"/>
  <c r="G34" i="76" s="1"/>
  <c r="F36" i="80"/>
  <c r="G36" i="80"/>
  <c r="F36" i="76"/>
  <c r="G36" i="76" s="1"/>
  <c r="F38" i="80"/>
  <c r="G38" i="80"/>
  <c r="F38" i="76"/>
  <c r="G38" i="76" s="1"/>
  <c r="F41" i="80"/>
  <c r="G41" i="80" s="1"/>
  <c r="F41" i="76"/>
  <c r="G41" i="76"/>
  <c r="F44" i="80"/>
  <c r="G44" i="80" s="1"/>
  <c r="F44" i="76"/>
  <c r="G44" i="76" s="1"/>
  <c r="F46" i="80"/>
  <c r="G46" i="80" s="1"/>
  <c r="F46" i="76"/>
  <c r="G46" i="76" s="1"/>
  <c r="F48" i="80"/>
  <c r="G48" i="80" s="1"/>
  <c r="F48" i="76"/>
  <c r="G48" i="76" s="1"/>
  <c r="F49" i="76"/>
  <c r="G49" i="76" s="1"/>
  <c r="F49" i="80"/>
  <c r="G49" i="80" s="1"/>
  <c r="F51" i="76"/>
  <c r="G51" i="76" s="1"/>
  <c r="F51" i="80"/>
  <c r="G51" i="80" s="1"/>
  <c r="F53" i="76"/>
  <c r="G53" i="76"/>
  <c r="F53" i="80"/>
  <c r="G53" i="80" s="1"/>
  <c r="F55" i="76"/>
  <c r="G55" i="76" s="1"/>
  <c r="F55" i="80"/>
  <c r="G55" i="80" s="1"/>
  <c r="F57" i="76"/>
  <c r="G57" i="76"/>
  <c r="F57" i="80"/>
  <c r="G57" i="80" s="1"/>
  <c r="F59" i="76"/>
  <c r="G59" i="76"/>
  <c r="F59" i="80"/>
  <c r="G59" i="80" s="1"/>
  <c r="F61" i="76"/>
  <c r="G61" i="76" s="1"/>
  <c r="F61" i="80"/>
  <c r="G61" i="80" s="1"/>
  <c r="F63" i="76"/>
  <c r="G63" i="76" s="1"/>
  <c r="F63" i="80"/>
  <c r="G63" i="80" s="1"/>
  <c r="F65" i="76"/>
  <c r="G65" i="76"/>
  <c r="F65" i="80"/>
  <c r="G65" i="80" s="1"/>
  <c r="F67" i="76"/>
  <c r="G67" i="76"/>
  <c r="F67" i="80"/>
  <c r="G67" i="80" s="1"/>
  <c r="F69" i="76"/>
  <c r="G69" i="76"/>
  <c r="F69" i="80"/>
  <c r="G69" i="80" s="1"/>
  <c r="F4" i="76"/>
  <c r="G4" i="76" s="1"/>
  <c r="F4" i="80"/>
  <c r="G4" i="80" s="1"/>
  <c r="F6" i="76"/>
  <c r="G6" i="76"/>
  <c r="F6" i="80"/>
  <c r="G6" i="80" s="1"/>
  <c r="F8" i="76"/>
  <c r="G8" i="76"/>
  <c r="F8" i="80"/>
  <c r="G8" i="80" s="1"/>
  <c r="F10" i="76"/>
  <c r="G10" i="76"/>
  <c r="F10" i="80"/>
  <c r="G10" i="80" s="1"/>
  <c r="F12" i="76"/>
  <c r="G12" i="76" s="1"/>
  <c r="F12" i="80"/>
  <c r="G12" i="80" s="1"/>
  <c r="F14" i="76"/>
  <c r="G14" i="76"/>
  <c r="F14" i="80"/>
  <c r="G14" i="80" s="1"/>
  <c r="F16" i="76"/>
  <c r="G16" i="76"/>
  <c r="F16" i="80"/>
  <c r="G16" i="80" s="1"/>
  <c r="F18" i="76"/>
  <c r="G18" i="76"/>
  <c r="F18" i="80"/>
  <c r="G18" i="80" s="1"/>
  <c r="F21" i="76"/>
  <c r="G21" i="76" s="1"/>
  <c r="F21" i="80"/>
  <c r="G21" i="80" s="1"/>
  <c r="F23" i="76"/>
  <c r="G23" i="76" s="1"/>
  <c r="F23" i="80"/>
  <c r="G23" i="80" s="1"/>
  <c r="F25" i="76"/>
  <c r="G25" i="76"/>
  <c r="F25" i="80"/>
  <c r="G25" i="80" s="1"/>
  <c r="F27" i="76"/>
  <c r="G27" i="76"/>
  <c r="F27" i="80"/>
  <c r="G27" i="80" s="1"/>
  <c r="F29" i="76"/>
  <c r="G29" i="76" s="1"/>
  <c r="F29" i="80"/>
  <c r="G29" i="80" s="1"/>
  <c r="F31" i="76"/>
  <c r="G31" i="76" s="1"/>
  <c r="F31" i="80"/>
  <c r="G31" i="80" s="1"/>
  <c r="F33" i="76"/>
  <c r="G33" i="76"/>
  <c r="F33" i="80"/>
  <c r="G33" i="80" s="1"/>
  <c r="F35" i="76"/>
  <c r="G35" i="76"/>
  <c r="F35" i="80"/>
  <c r="G35" i="80" s="1"/>
  <c r="F37" i="76"/>
  <c r="G37" i="76" s="1"/>
  <c r="F37" i="80"/>
  <c r="G37" i="80" s="1"/>
  <c r="F40" i="76"/>
  <c r="G40" i="76" s="1"/>
  <c r="F40" i="80"/>
  <c r="G40" i="80" s="1"/>
  <c r="F43" i="76"/>
  <c r="G43" i="76" s="1"/>
  <c r="F43" i="80"/>
  <c r="G43" i="80" s="1"/>
  <c r="F45" i="76"/>
  <c r="G45" i="76"/>
  <c r="F45" i="80"/>
  <c r="G45" i="80" s="1"/>
  <c r="F47" i="76"/>
  <c r="G47" i="76" s="1"/>
  <c r="F47" i="80"/>
  <c r="G47" i="80" s="1"/>
  <c r="F50" i="80"/>
  <c r="G50" i="80"/>
  <c r="F50" i="76"/>
  <c r="G50" i="76" s="1"/>
  <c r="F52" i="80"/>
  <c r="G52" i="80" s="1"/>
  <c r="F52" i="76"/>
  <c r="G52" i="76" s="1"/>
  <c r="F54" i="80"/>
  <c r="G54" i="80" s="1"/>
  <c r="F54" i="76"/>
  <c r="G54" i="76" s="1"/>
  <c r="F56" i="80"/>
  <c r="G56" i="80" s="1"/>
  <c r="F56" i="76"/>
  <c r="G56" i="76" s="1"/>
  <c r="F58" i="80"/>
  <c r="G58" i="80" s="1"/>
  <c r="F58" i="76"/>
  <c r="G58" i="76" s="1"/>
  <c r="F60" i="80"/>
  <c r="G60" i="80" s="1"/>
  <c r="F60" i="76"/>
  <c r="G60" i="76" s="1"/>
  <c r="F62" i="80"/>
  <c r="G62" i="80" s="1"/>
  <c r="F62" i="76"/>
  <c r="G62" i="76" s="1"/>
  <c r="F64" i="80"/>
  <c r="G64" i="80"/>
  <c r="F64" i="76"/>
  <c r="G64" i="76" s="1"/>
  <c r="F66" i="80"/>
  <c r="G66" i="80" s="1"/>
  <c r="F66" i="76"/>
  <c r="G66" i="76" s="1"/>
  <c r="F68" i="80"/>
  <c r="G68" i="80" s="1"/>
  <c r="F68" i="76"/>
  <c r="G68" i="76" s="1"/>
  <c r="F70" i="80"/>
  <c r="G70" i="80"/>
  <c r="F70" i="76"/>
  <c r="G70" i="76" s="1"/>
  <c r="F72" i="80"/>
  <c r="G72" i="80" s="1"/>
  <c r="F72" i="76"/>
  <c r="G72" i="76"/>
  <c r="F71" i="76"/>
  <c r="G71" i="76" s="1"/>
  <c r="F71" i="80"/>
  <c r="G71" i="80" s="1"/>
  <c r="AM39" i="13"/>
  <c r="G40" i="25"/>
  <c r="AN39" i="13"/>
  <c r="AD70" i="13"/>
  <c r="AM8" i="13"/>
  <c r="AN8" i="13"/>
  <c r="AL8" i="13"/>
  <c r="AO8" i="13"/>
  <c r="AM10" i="13"/>
  <c r="G11" i="25"/>
  <c r="AL10" i="13"/>
  <c r="AO10" i="13"/>
  <c r="AN10" i="13"/>
  <c r="AN12" i="13"/>
  <c r="AO12" i="13"/>
  <c r="AN14" i="13"/>
  <c r="AO14" i="13"/>
  <c r="AO20" i="13"/>
  <c r="AN20" i="13"/>
  <c r="AL22" i="13"/>
  <c r="AO22" i="13"/>
  <c r="AM22" i="13"/>
  <c r="G23" i="25"/>
  <c r="AN22" i="13"/>
  <c r="AM28" i="13"/>
  <c r="G29" i="25"/>
  <c r="AN28" i="13"/>
  <c r="AL28" i="13"/>
  <c r="AO28" i="13"/>
  <c r="AM30" i="13"/>
  <c r="G31" i="25"/>
  <c r="AN30" i="13"/>
  <c r="AL30" i="13"/>
  <c r="AO30" i="13"/>
  <c r="AL36" i="13"/>
  <c r="AO36" i="13"/>
  <c r="AM36" i="13"/>
  <c r="G37" i="25"/>
  <c r="AN36" i="13"/>
  <c r="AL38" i="13"/>
  <c r="AO38" i="13"/>
  <c r="AM38" i="13"/>
  <c r="G39" i="25"/>
  <c r="AN38" i="13"/>
  <c r="AO41" i="13"/>
  <c r="AM41" i="13"/>
  <c r="G42" i="25"/>
  <c r="AN41" i="13"/>
  <c r="AM47" i="13"/>
  <c r="G48" i="25"/>
  <c r="AN47" i="13"/>
  <c r="AL47" i="13"/>
  <c r="AO47" i="13"/>
  <c r="AN49" i="13"/>
  <c r="AM49" i="13"/>
  <c r="G50" i="25"/>
  <c r="AO49" i="13"/>
  <c r="AO55" i="13"/>
  <c r="AL55" i="13"/>
  <c r="AM55" i="13"/>
  <c r="G56" i="25"/>
  <c r="AN55" i="13"/>
  <c r="AO57" i="13"/>
  <c r="AM57" i="13"/>
  <c r="G58" i="25"/>
  <c r="AN57" i="13"/>
  <c r="AM63" i="13"/>
  <c r="G64" i="25"/>
  <c r="AN63" i="13"/>
  <c r="AL63" i="13"/>
  <c r="AO63" i="13"/>
  <c r="AN65" i="13"/>
  <c r="AM65" i="13"/>
  <c r="G66" i="25"/>
  <c r="AO65" i="13"/>
  <c r="AO71" i="13"/>
  <c r="AL71" i="13"/>
  <c r="AM71" i="13"/>
  <c r="G72" i="25"/>
  <c r="AN71" i="13"/>
  <c r="AO73" i="13"/>
  <c r="AM73" i="13"/>
  <c r="G74" i="25"/>
  <c r="AN73" i="13"/>
  <c r="AN9" i="13"/>
  <c r="AL9" i="13"/>
  <c r="AO9" i="13"/>
  <c r="AL13" i="13"/>
  <c r="AN13" i="13"/>
  <c r="AM13" i="13"/>
  <c r="G14" i="25"/>
  <c r="AL21" i="13"/>
  <c r="AO21" i="13"/>
  <c r="AM21" i="13"/>
  <c r="G22" i="25"/>
  <c r="AN29" i="13"/>
  <c r="AM29" i="13"/>
  <c r="G30" i="25"/>
  <c r="AO29" i="13"/>
  <c r="AO37" i="13"/>
  <c r="AM37" i="13"/>
  <c r="G38" i="25"/>
  <c r="AN37" i="13"/>
  <c r="AL42" i="13"/>
  <c r="AO42" i="13"/>
  <c r="AM42" i="13"/>
  <c r="G43" i="25"/>
  <c r="AN42" i="13"/>
  <c r="AM48" i="13"/>
  <c r="G49" i="25"/>
  <c r="AN48" i="13"/>
  <c r="AL48" i="13"/>
  <c r="AO48" i="13"/>
  <c r="AL58" i="13"/>
  <c r="AO58" i="13"/>
  <c r="AM58" i="13"/>
  <c r="G59" i="25"/>
  <c r="AN58" i="13"/>
  <c r="AM64" i="13"/>
  <c r="G65" i="25"/>
  <c r="AN64" i="13"/>
  <c r="AL64" i="13"/>
  <c r="AO64" i="13"/>
  <c r="AM72" i="13"/>
  <c r="G73" i="25"/>
  <c r="AL74" i="13"/>
  <c r="AO74" i="13"/>
  <c r="AM74" i="13"/>
  <c r="G75" i="25"/>
  <c r="AN74" i="13"/>
  <c r="AO39" i="13"/>
  <c r="AB60" i="13"/>
  <c r="AB62" i="13"/>
  <c r="AB64" i="13"/>
  <c r="AB66" i="13"/>
  <c r="AB68" i="13"/>
  <c r="AB70" i="13"/>
  <c r="AB72" i="13"/>
  <c r="AB74" i="13"/>
  <c r="AO50" i="13"/>
  <c r="AD11" i="13"/>
  <c r="AQ69" i="13"/>
  <c r="Y69" i="1"/>
  <c r="AQ11" i="13"/>
  <c r="Y11" i="1"/>
  <c r="AD41" i="13"/>
  <c r="AD45" i="13"/>
  <c r="AL72" i="13"/>
  <c r="AN56" i="13"/>
  <c r="AO62" i="13"/>
  <c r="AD69" i="13"/>
  <c r="AM66" i="13"/>
  <c r="G67" i="25"/>
  <c r="AM50" i="13"/>
  <c r="G51" i="25"/>
  <c r="AM35" i="13"/>
  <c r="G36" i="25"/>
  <c r="AD27" i="13"/>
  <c r="AM60" i="13"/>
  <c r="G61" i="25"/>
  <c r="AL50" i="13"/>
  <c r="AQ20" i="13"/>
  <c r="AL60" i="13"/>
  <c r="AN72" i="13"/>
  <c r="AN62" i="13"/>
  <c r="AO68" i="13"/>
  <c r="C50" i="25"/>
  <c r="AN68" i="13"/>
  <c r="AM62" i="13"/>
  <c r="G63" i="25"/>
  <c r="AN40" i="13"/>
  <c r="AM68" i="13"/>
  <c r="G69" i="25"/>
  <c r="AQ62" i="13"/>
  <c r="C31" i="25"/>
  <c r="AL52" i="13"/>
  <c r="AO44" i="13"/>
  <c r="C76" i="25"/>
  <c r="AN44" i="13"/>
  <c r="AL46" i="13"/>
  <c r="AD54" i="13"/>
  <c r="AM46" i="13"/>
  <c r="G47" i="25"/>
  <c r="AN46" i="13"/>
  <c r="C42" i="25"/>
  <c r="C11" i="25"/>
  <c r="AN52" i="13"/>
  <c r="AO52" i="13"/>
  <c r="AD35" i="13"/>
  <c r="AQ38" i="13"/>
  <c r="AO66" i="13"/>
  <c r="AL66" i="13"/>
  <c r="AD38" i="13"/>
  <c r="C36" i="25"/>
  <c r="AD49" i="13"/>
  <c r="AQ45" i="13"/>
  <c r="AD21" i="13"/>
  <c r="AM44" i="13"/>
  <c r="G45" i="25"/>
  <c r="AQ50" i="13"/>
  <c r="AQ27" i="13"/>
  <c r="Y27" i="1"/>
  <c r="AD57" i="13"/>
  <c r="AM56" i="13"/>
  <c r="G57" i="25"/>
  <c r="AM40" i="13"/>
  <c r="G41" i="25"/>
  <c r="C29" i="25"/>
  <c r="AO56" i="13"/>
  <c r="AO40" i="13"/>
  <c r="AD60" i="13"/>
  <c r="AD14" i="13"/>
  <c r="AQ60" i="13"/>
  <c r="AD61" i="13"/>
  <c r="C68" i="25"/>
  <c r="AO76" i="13"/>
  <c r="AL35" i="13"/>
  <c r="AD46" i="13"/>
  <c r="C21" i="25"/>
  <c r="AD75" i="13"/>
  <c r="AD59" i="13"/>
  <c r="AM15" i="13"/>
  <c r="G16" i="25"/>
  <c r="AD47" i="13"/>
  <c r="AQ18" i="13"/>
  <c r="C41" i="25"/>
  <c r="AQ40" i="13"/>
  <c r="AO35" i="13"/>
  <c r="AD50" i="13"/>
  <c r="C19" i="25"/>
  <c r="AQ47" i="13"/>
  <c r="C43" i="25"/>
  <c r="AQ42" i="13"/>
  <c r="AD42" i="13"/>
  <c r="AO27" i="13"/>
  <c r="AN15" i="13"/>
  <c r="AM76" i="13"/>
  <c r="G77" i="25"/>
  <c r="AN76" i="13"/>
  <c r="AL15" i="13"/>
  <c r="AD30" i="13"/>
  <c r="C37" i="25"/>
  <c r="AD68" i="13"/>
  <c r="AD23" i="13"/>
  <c r="AQ59" i="13"/>
  <c r="C58" i="25"/>
  <c r="AD36" i="13"/>
  <c r="AQ68" i="13"/>
  <c r="Y68" i="1"/>
  <c r="AQ23" i="13"/>
  <c r="Y23" i="1"/>
  <c r="C44" i="25"/>
  <c r="AQ67" i="13"/>
  <c r="Y57" i="1"/>
  <c r="AD44" i="13"/>
  <c r="AQ54" i="13"/>
  <c r="Y54" i="1"/>
  <c r="AQ70" i="13"/>
  <c r="Y70" i="1"/>
  <c r="AD10" i="13"/>
  <c r="C26" i="25"/>
  <c r="AD28" i="13"/>
  <c r="AD52" i="13"/>
  <c r="AD62" i="13"/>
  <c r="AQ14" i="13"/>
  <c r="AD43" i="13"/>
  <c r="AQ61" i="13"/>
  <c r="AD25" i="13"/>
  <c r="AI82" i="13"/>
  <c r="C9" i="25"/>
  <c r="AM27" i="13"/>
  <c r="G28" i="25"/>
  <c r="AL27" i="13"/>
  <c r="F78" i="25"/>
  <c r="C38" i="25"/>
  <c r="AD15" i="13"/>
  <c r="AQ46" i="13"/>
  <c r="AD37" i="13"/>
  <c r="AD13" i="13"/>
  <c r="AQ44" i="13"/>
  <c r="AQ13" i="13"/>
  <c r="C10" i="25"/>
  <c r="AQ9" i="13"/>
  <c r="AD9" i="13"/>
  <c r="AQ16" i="13"/>
  <c r="Y16" i="1"/>
  <c r="C17" i="25"/>
  <c r="C75" i="25"/>
  <c r="AQ74" i="13"/>
  <c r="C65" i="25"/>
  <c r="AQ64" i="13"/>
  <c r="AD64" i="13"/>
  <c r="Y30" i="1"/>
  <c r="Y25" i="1"/>
  <c r="C67" i="25"/>
  <c r="AQ66" i="13"/>
  <c r="AQ32" i="13"/>
  <c r="C33" i="25"/>
  <c r="AQ55" i="13"/>
  <c r="C56" i="25"/>
  <c r="C73" i="25"/>
  <c r="AQ72" i="13"/>
  <c r="Y75" i="1"/>
  <c r="Y36" i="1"/>
  <c r="C20" i="25"/>
  <c r="AQ19" i="13"/>
  <c r="AD19" i="13"/>
  <c r="AD73" i="13"/>
  <c r="C74" i="25"/>
  <c r="AQ73" i="13"/>
  <c r="C18" i="25"/>
  <c r="AQ17" i="13"/>
  <c r="AD17" i="13"/>
  <c r="AQ76" i="13"/>
  <c r="C77" i="25"/>
  <c r="AD76" i="13"/>
  <c r="Y37" i="1"/>
  <c r="AD65" i="13"/>
  <c r="C66" i="25"/>
  <c r="AQ65" i="13"/>
  <c r="C30" i="25"/>
  <c r="AQ29" i="13"/>
  <c r="AD29" i="13"/>
  <c r="C13" i="25"/>
  <c r="AQ12" i="13"/>
  <c r="AD12" i="13"/>
  <c r="AC77" i="13"/>
  <c r="AQ26" i="13"/>
  <c r="AD26" i="13"/>
  <c r="C27" i="25"/>
  <c r="C59" i="25"/>
  <c r="AQ58" i="13"/>
  <c r="AD58" i="13"/>
  <c r="AL33" i="13"/>
  <c r="AN33" i="13"/>
  <c r="AO33" i="13"/>
  <c r="AM33" i="13"/>
  <c r="G34" i="25"/>
  <c r="AD22" i="13"/>
  <c r="AQ22" i="13"/>
  <c r="C23" i="25"/>
  <c r="AN24" i="13"/>
  <c r="AM24" i="13"/>
  <c r="G25" i="25"/>
  <c r="AO24" i="13"/>
  <c r="AL24" i="13"/>
  <c r="D12" i="25"/>
  <c r="H77" i="13"/>
  <c r="E29" i="81"/>
  <c r="G29" i="81" s="1"/>
  <c r="AD31" i="13"/>
  <c r="AQ31" i="13"/>
  <c r="C32" i="25"/>
  <c r="C52" i="25"/>
  <c r="AQ51" i="13"/>
  <c r="AD51" i="13"/>
  <c r="AN11" i="13"/>
  <c r="AO11" i="13"/>
  <c r="AQ34" i="13"/>
  <c r="C35" i="25"/>
  <c r="AD34" i="13"/>
  <c r="AQ33" i="13"/>
  <c r="C34" i="25"/>
  <c r="AD33" i="13"/>
  <c r="C57" i="25"/>
  <c r="AQ56" i="13"/>
  <c r="AD56" i="13"/>
  <c r="AM11" i="13"/>
  <c r="G12" i="25"/>
  <c r="AQ21" i="13"/>
  <c r="Y21" i="1"/>
  <c r="AQ52" i="13"/>
  <c r="AK77" i="13"/>
  <c r="AO77" i="13"/>
  <c r="AQ15" i="13"/>
  <c r="Y15" i="1"/>
  <c r="Y28" i="1"/>
  <c r="AQ8" i="13"/>
  <c r="AE77" i="13"/>
  <c r="C49" i="25"/>
  <c r="AD48" i="13"/>
  <c r="AQ48" i="13"/>
  <c r="AQ63" i="13"/>
  <c r="C64" i="25"/>
  <c r="AD63" i="13"/>
  <c r="AQ71" i="13"/>
  <c r="C72" i="25"/>
  <c r="AD71" i="13"/>
  <c r="AD39" i="13"/>
  <c r="AQ39" i="13"/>
  <c r="C40" i="25"/>
  <c r="AQ24" i="13"/>
  <c r="AD24" i="13"/>
  <c r="C25" i="25"/>
  <c r="AD53" i="13"/>
  <c r="AQ53" i="13"/>
  <c r="C54" i="25"/>
  <c r="AM17" i="13"/>
  <c r="G18" i="25"/>
  <c r="AN17" i="13"/>
  <c r="AO17" i="13"/>
  <c r="AL17" i="13"/>
  <c r="AB77" i="13"/>
  <c r="G9" i="25"/>
  <c r="Y20" i="1"/>
  <c r="Y62" i="1"/>
  <c r="Y38" i="1"/>
  <c r="Y45" i="1"/>
  <c r="Y67" i="1"/>
  <c r="Y50" i="1"/>
  <c r="AL77" i="13"/>
  <c r="Y60" i="1"/>
  <c r="Y18" i="1"/>
  <c r="Y44" i="1"/>
  <c r="Y59" i="1"/>
  <c r="Y61" i="1"/>
  <c r="Y42" i="1"/>
  <c r="Y47" i="1"/>
  <c r="Y40" i="1"/>
  <c r="Y13" i="1"/>
  <c r="Y14" i="1"/>
  <c r="Y46" i="1"/>
  <c r="AN77" i="13"/>
  <c r="Y72" i="1"/>
  <c r="Y52" i="1"/>
  <c r="Y32" i="1"/>
  <c r="Y74" i="1"/>
  <c r="AQ77" i="13"/>
  <c r="E28" i="81"/>
  <c r="G28" i="81" s="1"/>
  <c r="C78" i="25"/>
  <c r="Y66" i="1"/>
  <c r="Y9" i="1"/>
  <c r="Y55" i="1"/>
  <c r="Y64" i="1"/>
  <c r="Y53" i="1"/>
  <c r="Y39" i="1"/>
  <c r="Y34" i="1"/>
  <c r="Y51" i="1"/>
  <c r="D78" i="25"/>
  <c r="Y22" i="1"/>
  <c r="Y73" i="1"/>
  <c r="Y19" i="1"/>
  <c r="Y48" i="1"/>
  <c r="Y63" i="1"/>
  <c r="E33" i="81"/>
  <c r="H33" i="81" s="1"/>
  <c r="AD77" i="13"/>
  <c r="Y56" i="1"/>
  <c r="Y33" i="1"/>
  <c r="Y31" i="1"/>
  <c r="Y29" i="1"/>
  <c r="Y24" i="1"/>
  <c r="Y71" i="1"/>
  <c r="Y8" i="1"/>
  <c r="Y12" i="1"/>
  <c r="Y76" i="1"/>
  <c r="Y17" i="1"/>
  <c r="AM77" i="13"/>
  <c r="E30" i="81"/>
  <c r="G30" i="81" s="1"/>
  <c r="H29" i="81"/>
  <c r="Y58" i="1"/>
  <c r="Y26" i="1"/>
  <c r="Y65" i="1"/>
  <c r="G78" i="25"/>
  <c r="E2" i="25"/>
  <c r="H2" i="25"/>
  <c r="Y77" i="1"/>
  <c r="H53" i="25"/>
  <c r="H15" i="25"/>
  <c r="H17" i="25"/>
  <c r="H21" i="25"/>
  <c r="H62" i="25"/>
  <c r="H35" i="25"/>
  <c r="J35" i="25" s="1"/>
  <c r="S34" i="1" s="1"/>
  <c r="H20" i="25"/>
  <c r="H10" i="25"/>
  <c r="J10" i="25" s="1"/>
  <c r="S9" i="1" s="1"/>
  <c r="H13" i="25"/>
  <c r="H66" i="25"/>
  <c r="J66" i="25" s="1"/>
  <c r="S65" i="1" s="1"/>
  <c r="H23" i="25"/>
  <c r="J23" i="25" s="1"/>
  <c r="S22" i="1" s="1"/>
  <c r="H38" i="25"/>
  <c r="H45" i="25"/>
  <c r="H73" i="25"/>
  <c r="H14" i="25"/>
  <c r="H31" i="25"/>
  <c r="H76" i="25"/>
  <c r="H30" i="25"/>
  <c r="H65" i="25"/>
  <c r="H22" i="25"/>
  <c r="H68" i="25"/>
  <c r="H19" i="25"/>
  <c r="J19" i="25" s="1"/>
  <c r="S18" i="1" s="1"/>
  <c r="H71" i="25"/>
  <c r="H50" i="25"/>
  <c r="H11" i="25"/>
  <c r="H59" i="25"/>
  <c r="H36" i="25"/>
  <c r="H47" i="25"/>
  <c r="H72" i="25"/>
  <c r="H40" i="25"/>
  <c r="J40" i="25" s="1"/>
  <c r="S39" i="1" s="1"/>
  <c r="H64" i="25"/>
  <c r="H24" i="25"/>
  <c r="H55" i="25"/>
  <c r="H29" i="25"/>
  <c r="H61" i="25"/>
  <c r="H70" i="25"/>
  <c r="H74" i="25"/>
  <c r="H51" i="25"/>
  <c r="H46" i="25"/>
  <c r="H33" i="25"/>
  <c r="J33" i="25" s="1"/>
  <c r="S32" i="1" s="1"/>
  <c r="H60" i="25"/>
  <c r="H37" i="25"/>
  <c r="H52" i="25"/>
  <c r="J52" i="25" s="1"/>
  <c r="S51" i="1" s="1"/>
  <c r="H44" i="25"/>
  <c r="H67" i="25"/>
  <c r="H48" i="25"/>
  <c r="H32" i="25"/>
  <c r="H69" i="25"/>
  <c r="H63" i="25"/>
  <c r="H43" i="25"/>
  <c r="H56" i="25"/>
  <c r="J56" i="25" s="1"/>
  <c r="S55" i="1" s="1"/>
  <c r="H54" i="25"/>
  <c r="J54" i="25" s="1"/>
  <c r="S53" i="1" s="1"/>
  <c r="H39" i="25"/>
  <c r="H26" i="25"/>
  <c r="J26" i="25" s="1"/>
  <c r="S25" i="1" s="1"/>
  <c r="H75" i="25"/>
  <c r="H42" i="25"/>
  <c r="H49" i="25"/>
  <c r="H58" i="25"/>
  <c r="J58" i="25" s="1"/>
  <c r="S57" i="1" s="1"/>
  <c r="H27" i="25"/>
  <c r="H28" i="25"/>
  <c r="H34" i="25"/>
  <c r="H16" i="25"/>
  <c r="H25" i="25"/>
  <c r="H9" i="25"/>
  <c r="H77" i="25"/>
  <c r="H18" i="25"/>
  <c r="H12" i="25"/>
  <c r="H41" i="25"/>
  <c r="J41" i="25" s="1"/>
  <c r="S40" i="1" s="1"/>
  <c r="H57" i="25"/>
  <c r="E75" i="25"/>
  <c r="E33" i="25"/>
  <c r="E57" i="25"/>
  <c r="J57" i="25" s="1"/>
  <c r="S56" i="1" s="1"/>
  <c r="E59" i="25"/>
  <c r="E14" i="25"/>
  <c r="E10" i="25"/>
  <c r="E65" i="25"/>
  <c r="E13" i="25"/>
  <c r="J13" i="25"/>
  <c r="S12" i="1" s="1"/>
  <c r="E39" i="25"/>
  <c r="J39" i="25" s="1"/>
  <c r="S38" i="1" s="1"/>
  <c r="E50" i="25"/>
  <c r="J50" i="25" s="1"/>
  <c r="S49" i="1" s="1"/>
  <c r="E71" i="25"/>
  <c r="E41" i="25"/>
  <c r="E46" i="25"/>
  <c r="E74" i="25"/>
  <c r="J74" i="25" s="1"/>
  <c r="S73" i="1" s="1"/>
  <c r="E55" i="25"/>
  <c r="J55" i="25" s="1"/>
  <c r="S54" i="1" s="1"/>
  <c r="E35" i="25"/>
  <c r="E58" i="25"/>
  <c r="E29" i="25"/>
  <c r="E45" i="25"/>
  <c r="E66" i="25"/>
  <c r="E34" i="25"/>
  <c r="J34" i="25" s="1"/>
  <c r="S33" i="1" s="1"/>
  <c r="E47" i="25"/>
  <c r="J47" i="25" s="1"/>
  <c r="S46" i="1" s="1"/>
  <c r="E63" i="25"/>
  <c r="J63" i="25" s="1"/>
  <c r="S62" i="1" s="1"/>
  <c r="E26" i="25"/>
  <c r="E49" i="25"/>
  <c r="J49" i="25" s="1"/>
  <c r="S48" i="1" s="1"/>
  <c r="E17" i="25"/>
  <c r="E18" i="25"/>
  <c r="E9" i="25"/>
  <c r="E70" i="25"/>
  <c r="E30" i="25"/>
  <c r="E53" i="25"/>
  <c r="E54" i="25"/>
  <c r="E25" i="25"/>
  <c r="J25" i="25" s="1"/>
  <c r="S24" i="1" s="1"/>
  <c r="E22" i="25"/>
  <c r="E73" i="25"/>
  <c r="E16" i="25"/>
  <c r="E64" i="25"/>
  <c r="J64" i="25" s="1"/>
  <c r="S63" i="1" s="1"/>
  <c r="E28" i="25"/>
  <c r="E67" i="25"/>
  <c r="E52" i="25"/>
  <c r="E76" i="25"/>
  <c r="J76" i="25" s="1"/>
  <c r="S75" i="1" s="1"/>
  <c r="E60" i="25"/>
  <c r="J60" i="25" s="1"/>
  <c r="S59" i="1" s="1"/>
  <c r="E62" i="25"/>
  <c r="E32" i="25"/>
  <c r="E72" i="25"/>
  <c r="J72" i="25" s="1"/>
  <c r="S71" i="1" s="1"/>
  <c r="E42" i="25"/>
  <c r="E43" i="25"/>
  <c r="E56" i="25"/>
  <c r="E24" i="25"/>
  <c r="E44" i="25"/>
  <c r="E19" i="25"/>
  <c r="E27" i="25"/>
  <c r="E21" i="25"/>
  <c r="E51" i="25"/>
  <c r="E40" i="25"/>
  <c r="E68" i="25"/>
  <c r="J68" i="25"/>
  <c r="S67" i="1" s="1"/>
  <c r="E38" i="25"/>
  <c r="E48" i="25"/>
  <c r="E37" i="25"/>
  <c r="J37" i="25" s="1"/>
  <c r="S36" i="1" s="1"/>
  <c r="E15" i="25"/>
  <c r="E77" i="25"/>
  <c r="J77" i="25" s="1"/>
  <c r="S76" i="1" s="1"/>
  <c r="E23" i="25"/>
  <c r="E20" i="25"/>
  <c r="E31" i="25"/>
  <c r="E11" i="25"/>
  <c r="J11" i="25" s="1"/>
  <c r="S10" i="1" s="1"/>
  <c r="E61" i="25"/>
  <c r="E69" i="25"/>
  <c r="E36" i="25"/>
  <c r="E12" i="25"/>
  <c r="J62" i="25"/>
  <c r="S61" i="1" s="1"/>
  <c r="J67" i="25"/>
  <c r="S66" i="1" s="1"/>
  <c r="J53" i="25"/>
  <c r="S52" i="1" s="1"/>
  <c r="J48" i="25"/>
  <c r="S47" i="1"/>
  <c r="J43" i="25"/>
  <c r="S42" i="1" s="1"/>
  <c r="J15" i="25"/>
  <c r="S14" i="1" s="1"/>
  <c r="J18" i="25"/>
  <c r="S17" i="1" s="1"/>
  <c r="J16" i="25"/>
  <c r="S15" i="1" s="1"/>
  <c r="J59" i="25"/>
  <c r="S58" i="1" s="1"/>
  <c r="J73" i="25"/>
  <c r="S72" i="1" s="1"/>
  <c r="J45" i="25"/>
  <c r="S44" i="1" s="1"/>
  <c r="O46" i="115"/>
  <c r="P46" i="115" s="1"/>
  <c r="AE45" i="72" s="1"/>
  <c r="O72" i="115"/>
  <c r="O24" i="115"/>
  <c r="O10" i="115"/>
  <c r="P10" i="115" s="1"/>
  <c r="AE9" i="72" s="1"/>
  <c r="O18" i="115"/>
  <c r="H17" i="100" s="1"/>
  <c r="O28" i="115"/>
  <c r="H27" i="100" s="1"/>
  <c r="O50" i="115"/>
  <c r="O48" i="115"/>
  <c r="H47" i="100" s="1"/>
  <c r="O32" i="115"/>
  <c r="P32" i="115" s="1"/>
  <c r="O16" i="115"/>
  <c r="O30" i="115"/>
  <c r="P30" i="115" s="1"/>
  <c r="O56" i="115"/>
  <c r="O40" i="115"/>
  <c r="O66" i="115"/>
  <c r="O34" i="115"/>
  <c r="H33" i="100" s="1"/>
  <c r="O60" i="115"/>
  <c r="O44" i="115"/>
  <c r="H43" i="100" s="1"/>
  <c r="O74" i="115"/>
  <c r="O58" i="115"/>
  <c r="L55" i="31"/>
  <c r="L26" i="31"/>
  <c r="N26" i="31" s="1"/>
  <c r="O42" i="115"/>
  <c r="P42" i="115" s="1"/>
  <c r="AE41" i="72" s="1"/>
  <c r="L59" i="31"/>
  <c r="L19" i="31"/>
  <c r="M19" i="31" s="1"/>
  <c r="O26" i="115"/>
  <c r="H25" i="100" s="1"/>
  <c r="O68" i="115"/>
  <c r="O52" i="115"/>
  <c r="P52" i="115" s="1"/>
  <c r="O36" i="115"/>
  <c r="O20" i="115"/>
  <c r="P20" i="115" s="1"/>
  <c r="AE19" i="72" s="1"/>
  <c r="O23" i="115"/>
  <c r="O70" i="115"/>
  <c r="H69" i="100" s="1"/>
  <c r="O54" i="115"/>
  <c r="O38" i="115"/>
  <c r="O22" i="115"/>
  <c r="H21" i="100" s="1"/>
  <c r="O64" i="115"/>
  <c r="H63" i="100" s="1"/>
  <c r="O35" i="115"/>
  <c r="H34" i="100" s="1"/>
  <c r="O51" i="115"/>
  <c r="P51" i="115" s="1"/>
  <c r="AE50" i="72" s="1"/>
  <c r="O62" i="115"/>
  <c r="O11" i="115"/>
  <c r="H10" i="100" s="1"/>
  <c r="O8" i="115"/>
  <c r="O14" i="115"/>
  <c r="P14" i="115" s="1"/>
  <c r="Q14" i="115" s="1"/>
  <c r="S14" i="115" s="1"/>
  <c r="T14" i="115" s="1"/>
  <c r="H13" i="72" s="1"/>
  <c r="O12" i="115"/>
  <c r="O40" i="120"/>
  <c r="M39" i="100" s="1"/>
  <c r="O40" i="116"/>
  <c r="O40" i="119"/>
  <c r="O40" i="113"/>
  <c r="Q9" i="117"/>
  <c r="R9" i="117" s="1"/>
  <c r="O9" i="120"/>
  <c r="M8" i="100" s="1"/>
  <c r="O9" i="118"/>
  <c r="P9" i="118" s="1"/>
  <c r="O9" i="114"/>
  <c r="G8" i="100" s="1"/>
  <c r="O34" i="116"/>
  <c r="I33" i="100" s="1"/>
  <c r="O34" i="119"/>
  <c r="L33" i="100" s="1"/>
  <c r="O34" i="113"/>
  <c r="Q29" i="117"/>
  <c r="J28" i="100" s="1"/>
  <c r="O29" i="120"/>
  <c r="M28" i="100" s="1"/>
  <c r="O29" i="118"/>
  <c r="K28" i="100" s="1"/>
  <c r="O29" i="114"/>
  <c r="G28" i="100" s="1"/>
  <c r="O44" i="116"/>
  <c r="I43" i="100" s="1"/>
  <c r="O44" i="119"/>
  <c r="O44" i="113"/>
  <c r="P44" i="113" s="1"/>
  <c r="AC43" i="72" s="1"/>
  <c r="Q69" i="117"/>
  <c r="O69" i="120"/>
  <c r="M68" i="100" s="1"/>
  <c r="O69" i="118"/>
  <c r="P69" i="118" s="1"/>
  <c r="O69" i="114"/>
  <c r="P69" i="114" s="1"/>
  <c r="O68" i="116"/>
  <c r="I67" i="100" s="1"/>
  <c r="O68" i="119"/>
  <c r="P68" i="119" s="1"/>
  <c r="AI67" i="72" s="1"/>
  <c r="O68" i="113"/>
  <c r="F67" i="100" s="1"/>
  <c r="O20" i="116"/>
  <c r="I19" i="100" s="1"/>
  <c r="O20" i="119"/>
  <c r="P20" i="119" s="1"/>
  <c r="AI19" i="72" s="1"/>
  <c r="O20" i="113"/>
  <c r="Q55" i="117"/>
  <c r="O55" i="113"/>
  <c r="O55" i="120"/>
  <c r="M54" i="100" s="1"/>
  <c r="O55" i="118"/>
  <c r="O55" i="114"/>
  <c r="Q23" i="117"/>
  <c r="O23" i="120"/>
  <c r="M22" i="100" s="1"/>
  <c r="O23" i="118"/>
  <c r="K22" i="100" s="1"/>
  <c r="O23" i="114"/>
  <c r="P23" i="114" s="1"/>
  <c r="O70" i="116"/>
  <c r="P70" i="116" s="1"/>
  <c r="AF69" i="72" s="1"/>
  <c r="O70" i="119"/>
  <c r="L69" i="100" s="1"/>
  <c r="O70" i="113"/>
  <c r="F69" i="100" s="1"/>
  <c r="O22" i="118"/>
  <c r="K21" i="100" s="1"/>
  <c r="O22" i="116"/>
  <c r="O22" i="114"/>
  <c r="G21" i="100" s="1"/>
  <c r="O22" i="119"/>
  <c r="O22" i="113"/>
  <c r="P22" i="113" s="1"/>
  <c r="AC21" i="72" s="1"/>
  <c r="O64" i="116"/>
  <c r="P64" i="116" s="1"/>
  <c r="O64" i="119"/>
  <c r="O64" i="113"/>
  <c r="P64" i="113" s="1"/>
  <c r="Q35" i="117"/>
  <c r="J34" i="100" s="1"/>
  <c r="O35" i="120"/>
  <c r="M34" i="100" s="1"/>
  <c r="O35" i="118"/>
  <c r="O35" i="114"/>
  <c r="P35" i="114" s="1"/>
  <c r="Q35" i="114" s="1"/>
  <c r="S35" i="114" s="1"/>
  <c r="T35" i="114" s="1"/>
  <c r="G34" i="72" s="1"/>
  <c r="Q57" i="117"/>
  <c r="J56" i="100" s="1"/>
  <c r="O57" i="120"/>
  <c r="O57" i="118"/>
  <c r="K56" i="100" s="1"/>
  <c r="O57" i="114"/>
  <c r="P57" i="114" s="1"/>
  <c r="AD56" i="72" s="1"/>
  <c r="Q25" i="117"/>
  <c r="J24" i="100" s="1"/>
  <c r="O25" i="120"/>
  <c r="M24" i="100" s="1"/>
  <c r="O25" i="118"/>
  <c r="K24" i="100" s="1"/>
  <c r="O25" i="114"/>
  <c r="G24" i="100" s="1"/>
  <c r="Q59" i="117"/>
  <c r="O59" i="113"/>
  <c r="O59" i="120"/>
  <c r="M58" i="100" s="1"/>
  <c r="O59" i="118"/>
  <c r="P59" i="118" s="1"/>
  <c r="AH58" i="72" s="1"/>
  <c r="O59" i="114"/>
  <c r="G58" i="100" s="1"/>
  <c r="Q27" i="117"/>
  <c r="J26" i="100" s="1"/>
  <c r="O27" i="120"/>
  <c r="P27" i="120" s="1"/>
  <c r="O27" i="118"/>
  <c r="O27" i="114"/>
  <c r="O18" i="116"/>
  <c r="O18" i="119"/>
  <c r="P18" i="119" s="1"/>
  <c r="O18" i="113"/>
  <c r="P18" i="113" s="1"/>
  <c r="Q39" i="117"/>
  <c r="R39" i="117" s="1"/>
  <c r="O39" i="120"/>
  <c r="P39" i="120" s="1"/>
  <c r="AJ38" i="72" s="1"/>
  <c r="O39" i="118"/>
  <c r="K38" i="100" s="1"/>
  <c r="O39" i="114"/>
  <c r="P39" i="114" s="1"/>
  <c r="AD38" i="72" s="1"/>
  <c r="Q65" i="117"/>
  <c r="R65" i="117" s="1"/>
  <c r="AG64" i="72" s="1"/>
  <c r="O65" i="120"/>
  <c r="P65" i="120" s="1"/>
  <c r="AJ64" i="72" s="1"/>
  <c r="O65" i="118"/>
  <c r="K64" i="100" s="1"/>
  <c r="O65" i="114"/>
  <c r="O48" i="116"/>
  <c r="P48" i="116" s="1"/>
  <c r="AF47" i="72" s="1"/>
  <c r="O48" i="119"/>
  <c r="L47" i="100" s="1"/>
  <c r="O48" i="113"/>
  <c r="P48" i="113" s="1"/>
  <c r="AC47" i="72" s="1"/>
  <c r="O16" i="116"/>
  <c r="P16" i="116" s="1"/>
  <c r="AF15" i="72" s="1"/>
  <c r="O16" i="119"/>
  <c r="P16" i="119" s="1"/>
  <c r="AI15" i="72" s="1"/>
  <c r="O16" i="113"/>
  <c r="P16" i="113" s="1"/>
  <c r="O30" i="116"/>
  <c r="O30" i="119"/>
  <c r="L29" i="100" s="1"/>
  <c r="O30" i="113"/>
  <c r="P30" i="113" s="1"/>
  <c r="AC29" i="72" s="1"/>
  <c r="O41" i="119"/>
  <c r="P41" i="119" s="1"/>
  <c r="AI40" i="72" s="1"/>
  <c r="Q41" i="117"/>
  <c r="J40" i="100" s="1"/>
  <c r="O41" i="120"/>
  <c r="M40" i="100" s="1"/>
  <c r="O41" i="118"/>
  <c r="O41" i="116"/>
  <c r="P41" i="116" s="1"/>
  <c r="O41" i="114"/>
  <c r="P41" i="114" s="1"/>
  <c r="AD40" i="72" s="1"/>
  <c r="O56" i="120"/>
  <c r="P56" i="120" s="1"/>
  <c r="AJ55" i="72" s="1"/>
  <c r="O56" i="116"/>
  <c r="P56" i="116" s="1"/>
  <c r="AF55" i="72" s="1"/>
  <c r="O56" i="119"/>
  <c r="O56" i="113"/>
  <c r="F55" i="100" s="1"/>
  <c r="Q75" i="117"/>
  <c r="J74" i="100" s="1"/>
  <c r="O75" i="120"/>
  <c r="P75" i="120" s="1"/>
  <c r="AJ74" i="72" s="1"/>
  <c r="O75" i="118"/>
  <c r="O75" i="114"/>
  <c r="P75" i="114" s="1"/>
  <c r="AD74" i="72" s="1"/>
  <c r="O66" i="116"/>
  <c r="O66" i="119"/>
  <c r="L65" i="100" s="1"/>
  <c r="O66" i="113"/>
  <c r="Q61" i="117"/>
  <c r="R61" i="117" s="1"/>
  <c r="O61" i="120"/>
  <c r="O61" i="118"/>
  <c r="O61" i="114"/>
  <c r="P61" i="114" s="1"/>
  <c r="AD60" i="72" s="1"/>
  <c r="O60" i="116"/>
  <c r="I59" i="100" s="1"/>
  <c r="O60" i="119"/>
  <c r="Q60" i="117"/>
  <c r="R60" i="117" s="1"/>
  <c r="AG59" i="72" s="1"/>
  <c r="O60" i="113"/>
  <c r="F59" i="100" s="1"/>
  <c r="O74" i="118"/>
  <c r="O74" i="116"/>
  <c r="O74" i="114"/>
  <c r="P74" i="114" s="1"/>
  <c r="O74" i="119"/>
  <c r="L73" i="100" s="1"/>
  <c r="O74" i="113"/>
  <c r="F73" i="100" s="1"/>
  <c r="O42" i="116"/>
  <c r="I41" i="100" s="1"/>
  <c r="O42" i="119"/>
  <c r="O42" i="113"/>
  <c r="F41" i="100" s="1"/>
  <c r="O26" i="116"/>
  <c r="P26" i="116" s="1"/>
  <c r="AF25" i="72" s="1"/>
  <c r="O26" i="119"/>
  <c r="P26" i="119" s="1"/>
  <c r="O26" i="113"/>
  <c r="F25" i="100" s="1"/>
  <c r="Q37" i="117"/>
  <c r="J36" i="100" s="1"/>
  <c r="O37" i="120"/>
  <c r="M36" i="100" s="1"/>
  <c r="O37" i="118"/>
  <c r="O37" i="114"/>
  <c r="G36" i="100" s="1"/>
  <c r="O36" i="116"/>
  <c r="I35" i="100" s="1"/>
  <c r="O36" i="119"/>
  <c r="L35" i="100" s="1"/>
  <c r="O36" i="113"/>
  <c r="F35" i="100" s="1"/>
  <c r="Q71" i="117"/>
  <c r="O71" i="113"/>
  <c r="O71" i="120"/>
  <c r="M70" i="100" s="1"/>
  <c r="O71" i="118"/>
  <c r="O71" i="114"/>
  <c r="P71" i="114" s="1"/>
  <c r="AD70" i="72" s="1"/>
  <c r="O54" i="118"/>
  <c r="P54" i="118" s="1"/>
  <c r="AH53" i="72" s="1"/>
  <c r="O54" i="116"/>
  <c r="I53" i="100" s="1"/>
  <c r="O54" i="114"/>
  <c r="G53" i="100" s="1"/>
  <c r="O54" i="119"/>
  <c r="O54" i="113"/>
  <c r="F53" i="100" s="1"/>
  <c r="Q17" i="117"/>
  <c r="O17" i="120"/>
  <c r="M16" i="100" s="1"/>
  <c r="O17" i="118"/>
  <c r="O17" i="114"/>
  <c r="Q67" i="117"/>
  <c r="R67" i="117" s="1"/>
  <c r="AG66" i="72" s="1"/>
  <c r="O67" i="113"/>
  <c r="P67" i="113" s="1"/>
  <c r="AC66" i="72" s="1"/>
  <c r="O67" i="120"/>
  <c r="M66" i="100" s="1"/>
  <c r="O67" i="118"/>
  <c r="K66" i="100" s="1"/>
  <c r="O67" i="114"/>
  <c r="Q53" i="117"/>
  <c r="O53" i="120"/>
  <c r="M52" i="100" s="1"/>
  <c r="O53" i="118"/>
  <c r="O53" i="114"/>
  <c r="G52" i="100" s="1"/>
  <c r="O50" i="116"/>
  <c r="O50" i="119"/>
  <c r="P50" i="119" s="1"/>
  <c r="AI49" i="72" s="1"/>
  <c r="O50" i="113"/>
  <c r="Q13" i="117"/>
  <c r="R13" i="117" s="1"/>
  <c r="O13" i="120"/>
  <c r="O13" i="118"/>
  <c r="P13" i="118" s="1"/>
  <c r="AH12" i="72" s="1"/>
  <c r="O13" i="114"/>
  <c r="O58" i="116"/>
  <c r="I57" i="100" s="1"/>
  <c r="O58" i="119"/>
  <c r="O58" i="113"/>
  <c r="P58" i="113" s="1"/>
  <c r="AC57" i="72" s="1"/>
  <c r="O52" i="116"/>
  <c r="P52" i="116" s="1"/>
  <c r="O52" i="119"/>
  <c r="Q52" i="117"/>
  <c r="O52" i="113"/>
  <c r="F51" i="100" s="1"/>
  <c r="O46" i="118"/>
  <c r="K45" i="100" s="1"/>
  <c r="O46" i="116"/>
  <c r="I45" i="100" s="1"/>
  <c r="O46" i="114"/>
  <c r="P46" i="114" s="1"/>
  <c r="AD45" i="72" s="1"/>
  <c r="O46" i="119"/>
  <c r="O46" i="113"/>
  <c r="F45" i="100" s="1"/>
  <c r="O72" i="116"/>
  <c r="O72" i="119"/>
  <c r="P72" i="119" s="1"/>
  <c r="AI71" i="72" s="1"/>
  <c r="O72" i="113"/>
  <c r="O24" i="116"/>
  <c r="P24" i="116" s="1"/>
  <c r="AF23" i="72" s="1"/>
  <c r="O24" i="119"/>
  <c r="P24" i="119" s="1"/>
  <c r="AI23" i="72" s="1"/>
  <c r="O24" i="113"/>
  <c r="F23" i="100" s="1"/>
  <c r="Q43" i="117"/>
  <c r="O43" i="113"/>
  <c r="O43" i="120"/>
  <c r="O43" i="118"/>
  <c r="O43" i="114"/>
  <c r="O10" i="118"/>
  <c r="O10" i="116"/>
  <c r="I9" i="100" s="1"/>
  <c r="O10" i="114"/>
  <c r="G9" i="100" s="1"/>
  <c r="O10" i="119"/>
  <c r="O10" i="113"/>
  <c r="P10" i="113" s="1"/>
  <c r="O28" i="116"/>
  <c r="I27" i="100" s="1"/>
  <c r="O28" i="119"/>
  <c r="O28" i="113"/>
  <c r="Q21" i="117"/>
  <c r="O21" i="120"/>
  <c r="P21" i="120" s="1"/>
  <c r="AJ20" i="72" s="1"/>
  <c r="O21" i="118"/>
  <c r="K20" i="100" s="1"/>
  <c r="O21" i="114"/>
  <c r="P21" i="114" s="1"/>
  <c r="AD20" i="72" s="1"/>
  <c r="Q49" i="117"/>
  <c r="O49" i="120"/>
  <c r="O49" i="118"/>
  <c r="P49" i="118" s="1"/>
  <c r="AH48" i="72" s="1"/>
  <c r="O49" i="114"/>
  <c r="G48" i="100" s="1"/>
  <c r="O32" i="116"/>
  <c r="P32" i="116" s="1"/>
  <c r="AF31" i="72" s="1"/>
  <c r="O32" i="119"/>
  <c r="O32" i="113"/>
  <c r="F31" i="100" s="1"/>
  <c r="Q45" i="117"/>
  <c r="O45" i="120"/>
  <c r="M44" i="100" s="1"/>
  <c r="O45" i="118"/>
  <c r="P45" i="118" s="1"/>
  <c r="AH44" i="72" s="1"/>
  <c r="O45" i="114"/>
  <c r="G44" i="100" s="1"/>
  <c r="O38" i="116"/>
  <c r="O38" i="119"/>
  <c r="O38" i="113"/>
  <c r="Q33" i="117"/>
  <c r="J32" i="100" s="1"/>
  <c r="O33" i="120"/>
  <c r="O33" i="118"/>
  <c r="P33" i="118" s="1"/>
  <c r="AH32" i="72" s="1"/>
  <c r="O33" i="114"/>
  <c r="G32" i="100" s="1"/>
  <c r="Q11" i="117"/>
  <c r="J10" i="100" s="1"/>
  <c r="O11" i="120"/>
  <c r="P11" i="120" s="1"/>
  <c r="AJ10" i="72" s="1"/>
  <c r="O11" i="118"/>
  <c r="P11" i="118" s="1"/>
  <c r="AH10" i="72" s="1"/>
  <c r="O11" i="114"/>
  <c r="Q31" i="117"/>
  <c r="O31" i="113"/>
  <c r="O31" i="120"/>
  <c r="P31" i="120" s="1"/>
  <c r="O31" i="118"/>
  <c r="O31" i="114"/>
  <c r="P31" i="114" s="1"/>
  <c r="AD30" i="72" s="1"/>
  <c r="L70" i="100"/>
  <c r="Q63" i="117"/>
  <c r="R63" i="117" s="1"/>
  <c r="O63" i="120"/>
  <c r="P63" i="120" s="1"/>
  <c r="O63" i="118"/>
  <c r="O63" i="114"/>
  <c r="P63" i="114" s="1"/>
  <c r="Q51" i="117"/>
  <c r="O51" i="120"/>
  <c r="M50" i="100" s="1"/>
  <c r="O51" i="118"/>
  <c r="O51" i="114"/>
  <c r="G50" i="100" s="1"/>
  <c r="O8" i="116"/>
  <c r="I7" i="100" s="1"/>
  <c r="O8" i="119"/>
  <c r="O8" i="113"/>
  <c r="P8" i="113" s="1"/>
  <c r="O14" i="116"/>
  <c r="P14" i="116" s="1"/>
  <c r="O14" i="119"/>
  <c r="O14" i="113"/>
  <c r="F13" i="100" s="1"/>
  <c r="Q19" i="117"/>
  <c r="J18" i="100" s="1"/>
  <c r="O19" i="120"/>
  <c r="M18" i="100" s="1"/>
  <c r="O19" i="118"/>
  <c r="P19" i="118" s="1"/>
  <c r="AH18" i="72" s="1"/>
  <c r="O19" i="114"/>
  <c r="G18" i="100" s="1"/>
  <c r="O62" i="116"/>
  <c r="P62" i="116" s="1"/>
  <c r="O62" i="119"/>
  <c r="O62" i="113"/>
  <c r="P62" i="113" s="1"/>
  <c r="AC61" i="72" s="1"/>
  <c r="Q47" i="117"/>
  <c r="O47" i="120"/>
  <c r="M46" i="100" s="1"/>
  <c r="O47" i="118"/>
  <c r="P47" i="118" s="1"/>
  <c r="O47" i="114"/>
  <c r="O12" i="116"/>
  <c r="O12" i="119"/>
  <c r="O12" i="113"/>
  <c r="Q15" i="117"/>
  <c r="R15" i="117" s="1"/>
  <c r="AG14" i="72" s="1"/>
  <c r="O15" i="120"/>
  <c r="O15" i="118"/>
  <c r="O15" i="114"/>
  <c r="G14" i="100" s="1"/>
  <c r="Q73" i="117"/>
  <c r="O73" i="120"/>
  <c r="O73" i="118"/>
  <c r="O73" i="114"/>
  <c r="G72" i="100" s="1"/>
  <c r="Q7" i="117"/>
  <c r="R7" i="117" s="1"/>
  <c r="AG6" i="72" s="1"/>
  <c r="O7" i="113"/>
  <c r="P7" i="113" s="1"/>
  <c r="AC6" i="72" s="1"/>
  <c r="O7" i="120"/>
  <c r="M6" i="100" s="1"/>
  <c r="O7" i="118"/>
  <c r="P7" i="118" s="1"/>
  <c r="Q7" i="118" s="1"/>
  <c r="O7" i="114"/>
  <c r="P7" i="114" s="1"/>
  <c r="Q13" i="46"/>
  <c r="U13" i="46" s="1"/>
  <c r="Q17" i="46"/>
  <c r="R17" i="46" s="1"/>
  <c r="Q11" i="46"/>
  <c r="U11" i="46" s="1"/>
  <c r="W11" i="46" s="1"/>
  <c r="X11" i="46" s="1"/>
  <c r="P14" i="76"/>
  <c r="Q14" i="76" s="1"/>
  <c r="AQ16" i="72" s="1"/>
  <c r="P14" i="80"/>
  <c r="Q14" i="80" s="1"/>
  <c r="AR16" i="72" s="1"/>
  <c r="P16" i="80"/>
  <c r="Q16" i="80" s="1"/>
  <c r="P16" i="76"/>
  <c r="T18" i="100" s="1"/>
  <c r="P28" i="76"/>
  <c r="P28" i="80"/>
  <c r="AA44" i="72"/>
  <c r="P44" i="76"/>
  <c r="T46" i="100" s="1"/>
  <c r="P44" i="80"/>
  <c r="P60" i="80"/>
  <c r="U62" i="100" s="1"/>
  <c r="P60" i="76"/>
  <c r="P62" i="80"/>
  <c r="U64" i="100" s="1"/>
  <c r="P62" i="76"/>
  <c r="P46" i="80"/>
  <c r="U48" i="100" s="1"/>
  <c r="P46" i="76"/>
  <c r="P18" i="80"/>
  <c r="P18" i="76"/>
  <c r="T20" i="100" s="1"/>
  <c r="P39" i="76"/>
  <c r="T41" i="100" s="1"/>
  <c r="P50" i="80"/>
  <c r="P50" i="76"/>
  <c r="P22" i="80"/>
  <c r="P22" i="76"/>
  <c r="P70" i="76"/>
  <c r="Q70" i="76" s="1"/>
  <c r="AQ72" i="72" s="1"/>
  <c r="P70" i="80"/>
  <c r="U72" i="100" s="1"/>
  <c r="P8" i="80"/>
  <c r="U10" i="100" s="1"/>
  <c r="P8" i="76"/>
  <c r="P20" i="80"/>
  <c r="P20" i="76"/>
  <c r="P38" i="80"/>
  <c r="Q38" i="80" s="1"/>
  <c r="AR40" i="72" s="1"/>
  <c r="P38" i="76"/>
  <c r="P72" i="80"/>
  <c r="Q72" i="80" s="1"/>
  <c r="R72" i="80" s="1"/>
  <c r="P72" i="76"/>
  <c r="P58" i="80"/>
  <c r="P58" i="76"/>
  <c r="P48" i="80"/>
  <c r="U50" i="100" s="1"/>
  <c r="P48" i="76"/>
  <c r="P71" i="80"/>
  <c r="P34" i="80"/>
  <c r="U36" i="100" s="1"/>
  <c r="P34" i="76"/>
  <c r="P52" i="76"/>
  <c r="P52" i="80"/>
  <c r="U54" i="100" s="1"/>
  <c r="P67" i="80"/>
  <c r="P32" i="80"/>
  <c r="P32" i="76"/>
  <c r="T34" i="100" s="1"/>
  <c r="P5" i="80"/>
  <c r="U7" i="100" s="1"/>
  <c r="P56" i="80"/>
  <c r="U58" i="100" s="1"/>
  <c r="P56" i="76"/>
  <c r="P24" i="76"/>
  <c r="T26" i="100" s="1"/>
  <c r="P24" i="80"/>
  <c r="Q24" i="80" s="1"/>
  <c r="P13" i="76"/>
  <c r="P54" i="80"/>
  <c r="Q54" i="80" s="1"/>
  <c r="R54" i="80" s="1"/>
  <c r="T54" i="80" s="1"/>
  <c r="U54" i="80" s="1"/>
  <c r="V56" i="72" s="1"/>
  <c r="P54" i="76"/>
  <c r="T56" i="100" s="1"/>
  <c r="P69" i="76"/>
  <c r="P6" i="76"/>
  <c r="P6" i="80"/>
  <c r="U8" i="100" s="1"/>
  <c r="P26" i="76"/>
  <c r="P26" i="80"/>
  <c r="U28" i="100" s="1"/>
  <c r="P41" i="76"/>
  <c r="P10" i="80"/>
  <c r="U12" i="100" s="1"/>
  <c r="P10" i="76"/>
  <c r="P66" i="76"/>
  <c r="P66" i="80"/>
  <c r="U68" i="100" s="1"/>
  <c r="P33" i="80"/>
  <c r="U35" i="100" s="1"/>
  <c r="P68" i="80"/>
  <c r="U70" i="100" s="1"/>
  <c r="P68" i="76"/>
  <c r="Q68" i="76" s="1"/>
  <c r="AQ70" i="72" s="1"/>
  <c r="P30" i="76"/>
  <c r="Q30" i="76" s="1"/>
  <c r="P30" i="80"/>
  <c r="U32" i="100" s="1"/>
  <c r="P64" i="80"/>
  <c r="Q64" i="80" s="1"/>
  <c r="P64" i="76"/>
  <c r="P40" i="76"/>
  <c r="P40" i="80"/>
  <c r="Q40" i="80" s="1"/>
  <c r="R40" i="80" s="1"/>
  <c r="T40" i="80" s="1"/>
  <c r="U40" i="80" s="1"/>
  <c r="V42" i="72" s="1"/>
  <c r="P12" i="80"/>
  <c r="U14" i="100" s="1"/>
  <c r="P12" i="76"/>
  <c r="P36" i="76"/>
  <c r="P36" i="80"/>
  <c r="U38" i="100" s="1"/>
  <c r="P29" i="76"/>
  <c r="P42" i="80"/>
  <c r="U44" i="100" s="1"/>
  <c r="P42" i="76"/>
  <c r="Q42" i="76" s="1"/>
  <c r="P27" i="80"/>
  <c r="Z44" i="72"/>
  <c r="P4" i="80"/>
  <c r="R32" i="116"/>
  <c r="R76" i="116"/>
  <c r="K32" i="116"/>
  <c r="K76" i="116" s="1"/>
  <c r="D75" i="33"/>
  <c r="D74" i="33"/>
  <c r="D73" i="33"/>
  <c r="D72" i="33"/>
  <c r="D71" i="33"/>
  <c r="D70" i="33"/>
  <c r="D69" i="33"/>
  <c r="D68" i="33"/>
  <c r="D67" i="33"/>
  <c r="D66" i="33"/>
  <c r="D65" i="33"/>
  <c r="D64" i="33"/>
  <c r="D63" i="33"/>
  <c r="D62" i="33"/>
  <c r="D61" i="33"/>
  <c r="D60" i="33"/>
  <c r="D59" i="33"/>
  <c r="D58" i="33"/>
  <c r="D57" i="33"/>
  <c r="D56" i="33"/>
  <c r="D55" i="33"/>
  <c r="D54" i="33"/>
  <c r="D53" i="33"/>
  <c r="D52" i="33"/>
  <c r="D51" i="33"/>
  <c r="D50" i="33"/>
  <c r="D49" i="33"/>
  <c r="D48" i="33"/>
  <c r="D47" i="33"/>
  <c r="D46" i="33"/>
  <c r="D45" i="33"/>
  <c r="D44" i="33"/>
  <c r="D43" i="33"/>
  <c r="D42" i="33"/>
  <c r="D41" i="33"/>
  <c r="D40" i="33"/>
  <c r="D39" i="33"/>
  <c r="D38" i="33"/>
  <c r="D37" i="33"/>
  <c r="D36" i="33"/>
  <c r="D35" i="33"/>
  <c r="D34" i="33"/>
  <c r="D33" i="33"/>
  <c r="D32" i="33"/>
  <c r="D31" i="33"/>
  <c r="D30" i="33"/>
  <c r="D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8" i="33"/>
  <c r="D7" i="33"/>
  <c r="F7" i="33" s="1"/>
  <c r="G7" i="33" s="1"/>
  <c r="V18" i="46"/>
  <c r="V30" i="46"/>
  <c r="F72" i="33"/>
  <c r="H72" i="33" s="1"/>
  <c r="F68" i="33"/>
  <c r="G68" i="33" s="1"/>
  <c r="F64" i="33"/>
  <c r="F52" i="33"/>
  <c r="G52" i="33" s="1"/>
  <c r="F48" i="33"/>
  <c r="F40" i="33"/>
  <c r="F36" i="33"/>
  <c r="F32" i="33"/>
  <c r="F26" i="33"/>
  <c r="H26" i="33" s="1"/>
  <c r="F25" i="33"/>
  <c r="G25" i="33" s="1"/>
  <c r="M30" i="46"/>
  <c r="P13" i="126" l="1"/>
  <c r="AP22" i="72"/>
  <c r="AP62" i="72"/>
  <c r="P17" i="131"/>
  <c r="AP16" i="72" s="1"/>
  <c r="S58" i="100"/>
  <c r="P10" i="131"/>
  <c r="AP9" i="72" s="1"/>
  <c r="Q75" i="131"/>
  <c r="S75" i="131" s="1"/>
  <c r="T75" i="131" s="1"/>
  <c r="T74" i="72" s="1"/>
  <c r="P33" i="131"/>
  <c r="AP32" i="72" s="1"/>
  <c r="P69" i="127"/>
  <c r="AM68" i="72" s="1"/>
  <c r="Q54" i="100"/>
  <c r="P13" i="129"/>
  <c r="AO12" i="72" s="1"/>
  <c r="Q39" i="129"/>
  <c r="S39" i="129" s="1"/>
  <c r="T39" i="129" s="1"/>
  <c r="S38" i="72" s="1"/>
  <c r="P71" i="125"/>
  <c r="AK70" i="72" s="1"/>
  <c r="P58" i="100"/>
  <c r="P39" i="125"/>
  <c r="P21" i="126"/>
  <c r="AL20" i="72" s="1"/>
  <c r="P43" i="131"/>
  <c r="AP42" i="72" s="1"/>
  <c r="P63" i="127"/>
  <c r="Q63" i="127" s="1"/>
  <c r="S63" i="127" s="1"/>
  <c r="T63" i="127" s="1"/>
  <c r="Q62" i="72" s="1"/>
  <c r="Q46" i="100"/>
  <c r="P51" i="126"/>
  <c r="AL50" i="72" s="1"/>
  <c r="R14" i="100"/>
  <c r="AM66" i="72"/>
  <c r="Q67" i="127"/>
  <c r="S67" i="127" s="1"/>
  <c r="T67" i="127" s="1"/>
  <c r="Q66" i="72" s="1"/>
  <c r="AO14" i="72"/>
  <c r="Q15" i="129"/>
  <c r="S15" i="129" s="1"/>
  <c r="T15" i="129" s="1"/>
  <c r="S14" i="72" s="1"/>
  <c r="AM62" i="72"/>
  <c r="Q43" i="131"/>
  <c r="S43" i="131" s="1"/>
  <c r="T43" i="131" s="1"/>
  <c r="T42" i="72" s="1"/>
  <c r="P71" i="128"/>
  <c r="Q71" i="128" s="1"/>
  <c r="S71" i="128" s="1"/>
  <c r="T71" i="128" s="1"/>
  <c r="R70" i="72" s="1"/>
  <c r="P61" i="127"/>
  <c r="Q61" i="127" s="1"/>
  <c r="S61" i="127" s="1"/>
  <c r="T61" i="127" s="1"/>
  <c r="Q60" i="72" s="1"/>
  <c r="P63" i="125"/>
  <c r="Q63" i="125" s="1"/>
  <c r="S63" i="125" s="1"/>
  <c r="T63" i="125" s="1"/>
  <c r="O62" i="72" s="1"/>
  <c r="P11" i="128"/>
  <c r="Q11" i="128" s="1"/>
  <c r="S11" i="128" s="1"/>
  <c r="T11" i="128" s="1"/>
  <c r="R10" i="72" s="1"/>
  <c r="P37" i="126"/>
  <c r="Q37" i="126" s="1"/>
  <c r="S37" i="126" s="1"/>
  <c r="T37" i="126" s="1"/>
  <c r="P36" i="72" s="1"/>
  <c r="Q48" i="100"/>
  <c r="P54" i="126"/>
  <c r="AL53" i="72" s="1"/>
  <c r="N26" i="100"/>
  <c r="P41" i="100"/>
  <c r="AN74" i="72"/>
  <c r="AP10" i="72"/>
  <c r="P17" i="125"/>
  <c r="AK16" i="72" s="1"/>
  <c r="Q17" i="131"/>
  <c r="S17" i="131" s="1"/>
  <c r="T17" i="131" s="1"/>
  <c r="T16" i="72" s="1"/>
  <c r="Q39" i="131"/>
  <c r="S39" i="131" s="1"/>
  <c r="T39" i="131" s="1"/>
  <c r="T38" i="72" s="1"/>
  <c r="Q51" i="128"/>
  <c r="S51" i="128" s="1"/>
  <c r="T51" i="128" s="1"/>
  <c r="R50" i="72" s="1"/>
  <c r="Q25" i="127"/>
  <c r="S25" i="127" s="1"/>
  <c r="T25" i="127" s="1"/>
  <c r="Q24" i="72" s="1"/>
  <c r="P27" i="131"/>
  <c r="Q27" i="131" s="1"/>
  <c r="S27" i="131" s="1"/>
  <c r="T27" i="131" s="1"/>
  <c r="T26" i="72" s="1"/>
  <c r="P69" i="129"/>
  <c r="Q69" i="129" s="1"/>
  <c r="S69" i="129" s="1"/>
  <c r="T69" i="129" s="1"/>
  <c r="S68" i="72" s="1"/>
  <c r="P71" i="129"/>
  <c r="AO70" i="72" s="1"/>
  <c r="P39" i="128"/>
  <c r="Q39" i="128" s="1"/>
  <c r="S39" i="128" s="1"/>
  <c r="T39" i="128" s="1"/>
  <c r="R38" i="72" s="1"/>
  <c r="P74" i="127"/>
  <c r="AM73" i="72" s="1"/>
  <c r="P35" i="125"/>
  <c r="AK34" i="72" s="1"/>
  <c r="P13" i="125"/>
  <c r="Q13" i="125" s="1"/>
  <c r="S13" i="125" s="1"/>
  <c r="T13" i="125" s="1"/>
  <c r="O12" i="72" s="1"/>
  <c r="P23" i="127"/>
  <c r="Q23" i="127" s="1"/>
  <c r="S23" i="127" s="1"/>
  <c r="T23" i="127" s="1"/>
  <c r="Q22" i="72" s="1"/>
  <c r="R33" i="100"/>
  <c r="Q57" i="100"/>
  <c r="R30" i="100"/>
  <c r="P25" i="131"/>
  <c r="AP24" i="72" s="1"/>
  <c r="P35" i="131"/>
  <c r="Q35" i="131" s="1"/>
  <c r="S35" i="131" s="1"/>
  <c r="T35" i="131" s="1"/>
  <c r="T34" i="72" s="1"/>
  <c r="P51" i="131"/>
  <c r="AP50" i="72" s="1"/>
  <c r="S52" i="100"/>
  <c r="Q43" i="129"/>
  <c r="S43" i="129" s="1"/>
  <c r="T43" i="129" s="1"/>
  <c r="S42" i="72" s="1"/>
  <c r="P17" i="129"/>
  <c r="Q17" i="129" s="1"/>
  <c r="S17" i="129" s="1"/>
  <c r="T17" i="129" s="1"/>
  <c r="S16" i="72" s="1"/>
  <c r="P65" i="129"/>
  <c r="Q65" i="129" s="1"/>
  <c r="S65" i="129" s="1"/>
  <c r="T65" i="129" s="1"/>
  <c r="S64" i="72" s="1"/>
  <c r="R42" i="100"/>
  <c r="P25" i="129"/>
  <c r="P45" i="129"/>
  <c r="Q45" i="129" s="1"/>
  <c r="S45" i="129" s="1"/>
  <c r="T45" i="129" s="1"/>
  <c r="S44" i="72" s="1"/>
  <c r="Q53" i="129"/>
  <c r="S53" i="129" s="1"/>
  <c r="T53" i="129" s="1"/>
  <c r="S52" i="72" s="1"/>
  <c r="P26" i="129"/>
  <c r="R50" i="100"/>
  <c r="R8" i="100"/>
  <c r="P61" i="128"/>
  <c r="P45" i="128"/>
  <c r="AN44" i="72" s="1"/>
  <c r="Q26" i="127"/>
  <c r="S26" i="127" s="1"/>
  <c r="T26" i="127" s="1"/>
  <c r="Q25" i="72" s="1"/>
  <c r="P33" i="127"/>
  <c r="AM32" i="72" s="1"/>
  <c r="P43" i="127"/>
  <c r="P10" i="127"/>
  <c r="AM9" i="72" s="1"/>
  <c r="P58" i="127"/>
  <c r="AM57" i="72" s="1"/>
  <c r="P53" i="127"/>
  <c r="AM52" i="72" s="1"/>
  <c r="AL62" i="72"/>
  <c r="Q63" i="126"/>
  <c r="S63" i="126" s="1"/>
  <c r="T63" i="126" s="1"/>
  <c r="P62" i="72" s="1"/>
  <c r="O40" i="100"/>
  <c r="Q19" i="126"/>
  <c r="S19" i="126" s="1"/>
  <c r="T19" i="126" s="1"/>
  <c r="P18" i="72" s="1"/>
  <c r="O62" i="100"/>
  <c r="Q21" i="126"/>
  <c r="S21" i="126" s="1"/>
  <c r="T21" i="126" s="1"/>
  <c r="P20" i="72" s="1"/>
  <c r="Q15" i="125"/>
  <c r="S15" i="125" s="1"/>
  <c r="T15" i="125" s="1"/>
  <c r="O14" i="72" s="1"/>
  <c r="Q35" i="125"/>
  <c r="S35" i="125" s="1"/>
  <c r="T35" i="125" s="1"/>
  <c r="O34" i="72" s="1"/>
  <c r="S37" i="100"/>
  <c r="P38" i="131"/>
  <c r="AP37" i="72" s="1"/>
  <c r="P58" i="126"/>
  <c r="AL57" i="72" s="1"/>
  <c r="O57" i="100"/>
  <c r="P71" i="126"/>
  <c r="Q23" i="126"/>
  <c r="S23" i="126" s="1"/>
  <c r="T23" i="126" s="1"/>
  <c r="P22" i="72" s="1"/>
  <c r="Q71" i="125"/>
  <c r="S71" i="125" s="1"/>
  <c r="T71" i="125" s="1"/>
  <c r="O70" i="72" s="1"/>
  <c r="Q53" i="127"/>
  <c r="S53" i="127" s="1"/>
  <c r="T53" i="127" s="1"/>
  <c r="Q52" i="72" s="1"/>
  <c r="P66" i="127"/>
  <c r="P17" i="126"/>
  <c r="AL16" i="72" s="1"/>
  <c r="P57" i="126"/>
  <c r="AL56" i="72" s="1"/>
  <c r="O60" i="100"/>
  <c r="L27" i="31"/>
  <c r="L31" i="31"/>
  <c r="N31" i="31" s="1"/>
  <c r="P43" i="125"/>
  <c r="AK42" i="72" s="1"/>
  <c r="P75" i="126"/>
  <c r="AL74" i="72" s="1"/>
  <c r="P15" i="131"/>
  <c r="Q15" i="131" s="1"/>
  <c r="S15" i="131" s="1"/>
  <c r="T15" i="131" s="1"/>
  <c r="T14" i="72" s="1"/>
  <c r="Q10" i="127"/>
  <c r="S10" i="127" s="1"/>
  <c r="T10" i="127" s="1"/>
  <c r="Q9" i="72" s="1"/>
  <c r="AK26" i="72"/>
  <c r="Q58" i="127"/>
  <c r="S58" i="127" s="1"/>
  <c r="T58" i="127" s="1"/>
  <c r="Q57" i="72" s="1"/>
  <c r="P74" i="131"/>
  <c r="AP73" i="72" s="1"/>
  <c r="Q55" i="127"/>
  <c r="S55" i="127" s="1"/>
  <c r="T55" i="127" s="1"/>
  <c r="Q54" i="72" s="1"/>
  <c r="P66" i="129"/>
  <c r="P75" i="127"/>
  <c r="P9" i="127"/>
  <c r="Q9" i="127" s="1"/>
  <c r="S9" i="127" s="1"/>
  <c r="T9" i="127" s="1"/>
  <c r="Q8" i="72" s="1"/>
  <c r="P74" i="125"/>
  <c r="P34" i="127"/>
  <c r="AM33" i="72" s="1"/>
  <c r="P14" i="127"/>
  <c r="Q14" i="127" s="1"/>
  <c r="S14" i="127" s="1"/>
  <c r="T14" i="127" s="1"/>
  <c r="Q13" i="72" s="1"/>
  <c r="P38" i="126"/>
  <c r="AL37" i="72" s="1"/>
  <c r="P38" i="127"/>
  <c r="AM37" i="72" s="1"/>
  <c r="P27" i="129"/>
  <c r="AO26" i="72" s="1"/>
  <c r="P69" i="126"/>
  <c r="AL68" i="72" s="1"/>
  <c r="R53" i="100"/>
  <c r="R10" i="100"/>
  <c r="P29" i="126"/>
  <c r="AL28" i="72" s="1"/>
  <c r="Q38" i="126"/>
  <c r="S38" i="126" s="1"/>
  <c r="T38" i="126" s="1"/>
  <c r="P37" i="72" s="1"/>
  <c r="Q55" i="126"/>
  <c r="S55" i="126" s="1"/>
  <c r="T55" i="126" s="1"/>
  <c r="P54" i="72" s="1"/>
  <c r="Q49" i="127"/>
  <c r="S49" i="127" s="1"/>
  <c r="T49" i="127" s="1"/>
  <c r="Q48" i="72" s="1"/>
  <c r="Q11" i="129"/>
  <c r="S11" i="129" s="1"/>
  <c r="T11" i="129" s="1"/>
  <c r="S10" i="72" s="1"/>
  <c r="P73" i="129"/>
  <c r="AO72" i="72" s="1"/>
  <c r="P61" i="129"/>
  <c r="Q61" i="129" s="1"/>
  <c r="S61" i="129" s="1"/>
  <c r="T61" i="129" s="1"/>
  <c r="S60" i="72" s="1"/>
  <c r="P71" i="127"/>
  <c r="Q71" i="127" s="1"/>
  <c r="S71" i="127" s="1"/>
  <c r="T71" i="127" s="1"/>
  <c r="Q70" i="72" s="1"/>
  <c r="P46" i="127"/>
  <c r="AM45" i="72" s="1"/>
  <c r="P65" i="125"/>
  <c r="P31" i="127"/>
  <c r="AM30" i="72" s="1"/>
  <c r="P34" i="126"/>
  <c r="Q34" i="126" s="1"/>
  <c r="S34" i="126" s="1"/>
  <c r="T34" i="126" s="1"/>
  <c r="P33" i="72" s="1"/>
  <c r="P46" i="131"/>
  <c r="R32" i="100"/>
  <c r="Q23" i="46"/>
  <c r="U23" i="46" s="1"/>
  <c r="W23" i="46" s="1"/>
  <c r="X23" i="46" s="1"/>
  <c r="D44" i="72" s="1"/>
  <c r="T8" i="100"/>
  <c r="T36" i="100"/>
  <c r="T52" i="100"/>
  <c r="T64" i="100"/>
  <c r="T28" i="100"/>
  <c r="T60" i="100"/>
  <c r="T40" i="100"/>
  <c r="T24" i="100"/>
  <c r="T67" i="100"/>
  <c r="L73" i="76"/>
  <c r="L77" i="76" s="1"/>
  <c r="S73" i="76"/>
  <c r="S77" i="76" s="1"/>
  <c r="T7" i="100"/>
  <c r="T19" i="100"/>
  <c r="T55" i="100"/>
  <c r="T58" i="100"/>
  <c r="T54" i="100"/>
  <c r="T10" i="100"/>
  <c r="T50" i="100"/>
  <c r="T74" i="100"/>
  <c r="T22" i="100"/>
  <c r="T30" i="100"/>
  <c r="AT5" i="72"/>
  <c r="Q16" i="46"/>
  <c r="U16" i="46" s="1"/>
  <c r="Q12" i="46"/>
  <c r="U12" i="46" s="1"/>
  <c r="W12" i="46" s="1"/>
  <c r="X12" i="46" s="1"/>
  <c r="Q10" i="46"/>
  <c r="U10" i="46" s="1"/>
  <c r="Q14" i="46"/>
  <c r="U14" i="46" s="1"/>
  <c r="Q21" i="131"/>
  <c r="S21" i="131" s="1"/>
  <c r="T21" i="131" s="1"/>
  <c r="T20" i="72" s="1"/>
  <c r="Q31" i="128"/>
  <c r="S31" i="128" s="1"/>
  <c r="T31" i="128" s="1"/>
  <c r="R30" i="72" s="1"/>
  <c r="AN30" i="72"/>
  <c r="Q41" i="100"/>
  <c r="Q15" i="128"/>
  <c r="S15" i="128" s="1"/>
  <c r="T15" i="128" s="1"/>
  <c r="R14" i="72" s="1"/>
  <c r="AN34" i="72"/>
  <c r="P67" i="128"/>
  <c r="Q67" i="128" s="1"/>
  <c r="S67" i="128" s="1"/>
  <c r="T67" i="128" s="1"/>
  <c r="R66" i="72" s="1"/>
  <c r="Q49" i="100"/>
  <c r="P70" i="128"/>
  <c r="AN69" i="72" s="1"/>
  <c r="Q45" i="100"/>
  <c r="P21" i="128"/>
  <c r="AN20" i="72" s="1"/>
  <c r="Q50" i="100"/>
  <c r="Q55" i="128"/>
  <c r="S55" i="128" s="1"/>
  <c r="T55" i="128" s="1"/>
  <c r="R54" i="72" s="1"/>
  <c r="P73" i="128"/>
  <c r="P17" i="128"/>
  <c r="AN16" i="72" s="1"/>
  <c r="P69" i="128"/>
  <c r="AN68" i="72" s="1"/>
  <c r="P9" i="128"/>
  <c r="Q49" i="128"/>
  <c r="S49" i="128" s="1"/>
  <c r="T49" i="128" s="1"/>
  <c r="R48" i="72" s="1"/>
  <c r="P19" i="128"/>
  <c r="P22" i="128"/>
  <c r="Q22" i="128" s="1"/>
  <c r="S22" i="128" s="1"/>
  <c r="T22" i="128" s="1"/>
  <c r="R21" i="72" s="1"/>
  <c r="P53" i="128"/>
  <c r="AN52" i="72" s="1"/>
  <c r="AN26" i="72"/>
  <c r="Q63" i="128"/>
  <c r="S63" i="128" s="1"/>
  <c r="T63" i="128" s="1"/>
  <c r="R62" i="72" s="1"/>
  <c r="Q17" i="100"/>
  <c r="E15" i="81"/>
  <c r="H15" i="81" s="1"/>
  <c r="P42" i="126"/>
  <c r="AL41" i="72" s="1"/>
  <c r="P67" i="125"/>
  <c r="AK66" i="72" s="1"/>
  <c r="Q45" i="125"/>
  <c r="S45" i="125" s="1"/>
  <c r="T45" i="125" s="1"/>
  <c r="O44" i="72" s="1"/>
  <c r="P23" i="125"/>
  <c r="AK22" i="72" s="1"/>
  <c r="Q79" i="136"/>
  <c r="Q62" i="76"/>
  <c r="AQ64" i="72" s="1"/>
  <c r="S34" i="136"/>
  <c r="Q33" i="2" s="1"/>
  <c r="S63" i="136"/>
  <c r="Q62" i="2" s="1"/>
  <c r="S58" i="136"/>
  <c r="Q57" i="2" s="1"/>
  <c r="C30" i="46"/>
  <c r="C31" i="46" s="1"/>
  <c r="Q29" i="46"/>
  <c r="S17" i="46"/>
  <c r="S18" i="46" s="1"/>
  <c r="AA22" i="72" s="1"/>
  <c r="R57" i="117"/>
  <c r="AG56" i="72" s="1"/>
  <c r="M10" i="100"/>
  <c r="M13" i="100"/>
  <c r="P9" i="120"/>
  <c r="Q9" i="120" s="1"/>
  <c r="S9" i="120" s="1"/>
  <c r="T9" i="120" s="1"/>
  <c r="N8" i="72" s="1"/>
  <c r="F64" i="100"/>
  <c r="H19" i="100"/>
  <c r="P42" i="113"/>
  <c r="AC41" i="72" s="1"/>
  <c r="Q34" i="80"/>
  <c r="AR36" i="72" s="1"/>
  <c r="Q32" i="76"/>
  <c r="R32" i="76" s="1"/>
  <c r="T32" i="76" s="1"/>
  <c r="U32" i="76" s="1"/>
  <c r="U34" i="72" s="1"/>
  <c r="P22" i="118"/>
  <c r="AH21" i="72" s="1"/>
  <c r="I13" i="100"/>
  <c r="P40" i="120"/>
  <c r="Q40" i="120" s="1"/>
  <c r="S40" i="120" s="1"/>
  <c r="T40" i="120" s="1"/>
  <c r="N39" i="72" s="1"/>
  <c r="K58" i="100"/>
  <c r="P36" i="116"/>
  <c r="AF35" i="72" s="1"/>
  <c r="P19" i="120"/>
  <c r="AJ18" i="72" s="1"/>
  <c r="R29" i="117"/>
  <c r="AG28" i="72" s="1"/>
  <c r="F17" i="100"/>
  <c r="K53" i="100"/>
  <c r="R14" i="80"/>
  <c r="T14" i="80" s="1"/>
  <c r="U14" i="80" s="1"/>
  <c r="V16" i="72" s="1"/>
  <c r="Q24" i="76"/>
  <c r="AQ26" i="72" s="1"/>
  <c r="Q13" i="118"/>
  <c r="S13" i="118" s="1"/>
  <c r="T13" i="118" s="1"/>
  <c r="L12" i="72" s="1"/>
  <c r="J62" i="100"/>
  <c r="F63" i="100"/>
  <c r="F47" i="100"/>
  <c r="P54" i="113"/>
  <c r="AC53" i="72" s="1"/>
  <c r="M31" i="100"/>
  <c r="L15" i="100"/>
  <c r="Q52" i="76"/>
  <c r="AQ54" i="72" s="1"/>
  <c r="Q33" i="80"/>
  <c r="AR35" i="72" s="1"/>
  <c r="Q22" i="76"/>
  <c r="R22" i="76" s="1"/>
  <c r="T22" i="76" s="1"/>
  <c r="U22" i="76" s="1"/>
  <c r="U24" i="72" s="1"/>
  <c r="M30" i="100"/>
  <c r="K46" i="100"/>
  <c r="K68" i="100"/>
  <c r="G73" i="100"/>
  <c r="Q38" i="76"/>
  <c r="AQ40" i="72" s="1"/>
  <c r="P67" i="120"/>
  <c r="AJ66" i="72" s="1"/>
  <c r="P22" i="115"/>
  <c r="Q22" i="115" s="1"/>
  <c r="S22" i="115" s="1"/>
  <c r="T22" i="115" s="1"/>
  <c r="H21" i="72" s="1"/>
  <c r="Q21" i="80"/>
  <c r="AR23" i="72" s="1"/>
  <c r="M7" i="100"/>
  <c r="P73" i="114"/>
  <c r="Q73" i="114" s="1"/>
  <c r="S73" i="114" s="1"/>
  <c r="T73" i="114" s="1"/>
  <c r="G72" i="72" s="1"/>
  <c r="L19" i="100"/>
  <c r="P53" i="120"/>
  <c r="AJ52" i="72" s="1"/>
  <c r="P10" i="116"/>
  <c r="AF9" i="72" s="1"/>
  <c r="K37" i="100"/>
  <c r="C23" i="1"/>
  <c r="S56" i="136"/>
  <c r="Q55" i="2" s="1"/>
  <c r="S20" i="136"/>
  <c r="R68" i="76"/>
  <c r="T68" i="76" s="1"/>
  <c r="U68" i="76" s="1"/>
  <c r="U70" i="72" s="1"/>
  <c r="Q66" i="80"/>
  <c r="AR68" i="72" s="1"/>
  <c r="L62" i="100"/>
  <c r="R19" i="117"/>
  <c r="AG18" i="72" s="1"/>
  <c r="H31" i="100"/>
  <c r="S52" i="136"/>
  <c r="S51" i="136"/>
  <c r="Q19" i="76"/>
  <c r="AQ21" i="72" s="1"/>
  <c r="Q48" i="76"/>
  <c r="AQ50" i="72" s="1"/>
  <c r="Q8" i="76"/>
  <c r="R8" i="76" s="1"/>
  <c r="T8" i="76" s="1"/>
  <c r="U8" i="76" s="1"/>
  <c r="U10" i="72" s="1"/>
  <c r="Q44" i="76"/>
  <c r="AQ46" i="72" s="1"/>
  <c r="Q63" i="119"/>
  <c r="S63" i="119" s="1"/>
  <c r="T63" i="119" s="1"/>
  <c r="M62" i="72" s="1"/>
  <c r="P14" i="113"/>
  <c r="AC13" i="72" s="1"/>
  <c r="Q75" i="114"/>
  <c r="S75" i="114" s="1"/>
  <c r="T75" i="114" s="1"/>
  <c r="G74" i="72" s="1"/>
  <c r="K8" i="100"/>
  <c r="P23" i="118"/>
  <c r="AH22" i="72" s="1"/>
  <c r="G74" i="100"/>
  <c r="R37" i="117"/>
  <c r="AG36" i="72" s="1"/>
  <c r="J59" i="100"/>
  <c r="S61" i="136"/>
  <c r="Q60" i="2" s="1"/>
  <c r="S62" i="136"/>
  <c r="S72" i="136"/>
  <c r="S36" i="136"/>
  <c r="S71" i="136"/>
  <c r="C72" i="1" s="1"/>
  <c r="S30" i="136"/>
  <c r="Q39" i="120"/>
  <c r="S39" i="120" s="1"/>
  <c r="T39" i="120" s="1"/>
  <c r="N38" i="72" s="1"/>
  <c r="F66" i="100"/>
  <c r="G45" i="100"/>
  <c r="S44" i="136"/>
  <c r="S12" i="136"/>
  <c r="Q11" i="2" s="1"/>
  <c r="Q6" i="80"/>
  <c r="AR8" i="72" s="1"/>
  <c r="Q46" i="80"/>
  <c r="AR48" i="72" s="1"/>
  <c r="T16" i="100"/>
  <c r="P8" i="116"/>
  <c r="AF7" i="72" s="1"/>
  <c r="Q16" i="116"/>
  <c r="S16" i="116" s="1"/>
  <c r="T16" i="116" s="1"/>
  <c r="I15" i="72" s="1"/>
  <c r="P66" i="119"/>
  <c r="AI65" i="72" s="1"/>
  <c r="P35" i="120"/>
  <c r="Q35" i="120" s="1"/>
  <c r="S35" i="120" s="1"/>
  <c r="T35" i="120" s="1"/>
  <c r="N34" i="72" s="1"/>
  <c r="M38" i="100"/>
  <c r="P37" i="116"/>
  <c r="AF36" i="72" s="1"/>
  <c r="S76" i="136"/>
  <c r="S25" i="136"/>
  <c r="Q24" i="2" s="1"/>
  <c r="S46" i="136"/>
  <c r="C47" i="1" s="1"/>
  <c r="L47" i="1" s="1"/>
  <c r="M47" i="1" s="1"/>
  <c r="N47" i="1" s="1"/>
  <c r="O47" i="1" s="1"/>
  <c r="P47" i="1" s="1"/>
  <c r="S64" i="136"/>
  <c r="C65" i="1" s="1"/>
  <c r="I63" i="2" s="1"/>
  <c r="S28" i="136"/>
  <c r="Q27" i="2" s="1"/>
  <c r="S59" i="136"/>
  <c r="C60" i="1" s="1"/>
  <c r="I58" i="2" s="1"/>
  <c r="S10" i="136"/>
  <c r="Q9" i="2" s="1"/>
  <c r="H49" i="100"/>
  <c r="P50" i="115"/>
  <c r="AE49" i="72" s="1"/>
  <c r="P60" i="119"/>
  <c r="AI59" i="72" s="1"/>
  <c r="L59" i="100"/>
  <c r="P75" i="118"/>
  <c r="AH74" i="72" s="1"/>
  <c r="K74" i="100"/>
  <c r="P27" i="114"/>
  <c r="G26" i="100"/>
  <c r="J58" i="100"/>
  <c r="R59" i="117"/>
  <c r="AG58" i="72" s="1"/>
  <c r="P22" i="116"/>
  <c r="Q22" i="116" s="1"/>
  <c r="S22" i="116" s="1"/>
  <c r="T22" i="116" s="1"/>
  <c r="I21" i="72" s="1"/>
  <c r="I21" i="100"/>
  <c r="G54" i="100"/>
  <c r="P55" i="114"/>
  <c r="AD54" i="72" s="1"/>
  <c r="M19" i="100"/>
  <c r="P20" i="120"/>
  <c r="AJ19" i="72" s="1"/>
  <c r="P44" i="120"/>
  <c r="AJ43" i="72" s="1"/>
  <c r="I39" i="100"/>
  <c r="M43" i="100"/>
  <c r="P70" i="113"/>
  <c r="Q70" i="113" s="1"/>
  <c r="S70" i="113" s="1"/>
  <c r="T70" i="113" s="1"/>
  <c r="F69" i="72" s="1"/>
  <c r="F29" i="100"/>
  <c r="P60" i="113"/>
  <c r="AC59" i="72" s="1"/>
  <c r="M23" i="100"/>
  <c r="P14" i="119"/>
  <c r="Q14" i="119" s="1"/>
  <c r="S14" i="119" s="1"/>
  <c r="T14" i="119" s="1"/>
  <c r="M13" i="72" s="1"/>
  <c r="L13" i="100"/>
  <c r="P71" i="120"/>
  <c r="Q71" i="120" s="1"/>
  <c r="S71" i="120" s="1"/>
  <c r="T71" i="120" s="1"/>
  <c r="N70" i="72" s="1"/>
  <c r="P31" i="118"/>
  <c r="AH30" i="72" s="1"/>
  <c r="K30" i="100"/>
  <c r="P52" i="113"/>
  <c r="AC51" i="72" s="1"/>
  <c r="P71" i="115"/>
  <c r="AE70" i="72" s="1"/>
  <c r="AJ34" i="72"/>
  <c r="M62" i="100"/>
  <c r="L31" i="100"/>
  <c r="P32" i="119"/>
  <c r="AI31" i="72" s="1"/>
  <c r="P10" i="119"/>
  <c r="AI9" i="72" s="1"/>
  <c r="L9" i="100"/>
  <c r="R43" i="117"/>
  <c r="AG42" i="72" s="1"/>
  <c r="J42" i="100"/>
  <c r="P67" i="114"/>
  <c r="AD66" i="72" s="1"/>
  <c r="G66" i="100"/>
  <c r="G65" i="100"/>
  <c r="P66" i="114"/>
  <c r="AD65" i="72" s="1"/>
  <c r="P40" i="116"/>
  <c r="AF39" i="72" s="1"/>
  <c r="G40" i="100"/>
  <c r="L11" i="100"/>
  <c r="P12" i="119"/>
  <c r="AI11" i="72" s="1"/>
  <c r="H50" i="100"/>
  <c r="M42" i="100"/>
  <c r="P43" i="120"/>
  <c r="AJ42" i="72" s="1"/>
  <c r="P54" i="119"/>
  <c r="AI53" i="72" s="1"/>
  <c r="L53" i="100"/>
  <c r="J70" i="100"/>
  <c r="R71" i="117"/>
  <c r="AG70" i="72" s="1"/>
  <c r="K40" i="100"/>
  <c r="P41" i="118"/>
  <c r="AH40" i="72" s="1"/>
  <c r="K34" i="100"/>
  <c r="P35" i="118"/>
  <c r="AH34" i="72" s="1"/>
  <c r="R64" i="117"/>
  <c r="S64" i="117" s="1"/>
  <c r="U64" i="117" s="1"/>
  <c r="V64" i="117" s="1"/>
  <c r="K63" i="72" s="1"/>
  <c r="J63" i="100"/>
  <c r="K69" i="100"/>
  <c r="P70" i="118"/>
  <c r="AH69" i="72" s="1"/>
  <c r="P23" i="113"/>
  <c r="AC22" i="72" s="1"/>
  <c r="F22" i="100"/>
  <c r="L43" i="100"/>
  <c r="P44" i="119"/>
  <c r="AI43" i="72" s="1"/>
  <c r="L28" i="100"/>
  <c r="P29" i="119"/>
  <c r="AI28" i="72" s="1"/>
  <c r="F39" i="100"/>
  <c r="P40" i="113"/>
  <c r="AC39" i="72" s="1"/>
  <c r="S69" i="136"/>
  <c r="C75" i="1"/>
  <c r="Q73" i="2"/>
  <c r="S73" i="136"/>
  <c r="S65" i="136"/>
  <c r="S57" i="136"/>
  <c r="S53" i="136"/>
  <c r="S49" i="136"/>
  <c r="S45" i="136"/>
  <c r="C46" i="1" s="1"/>
  <c r="S41" i="136"/>
  <c r="S37" i="136"/>
  <c r="S29" i="136"/>
  <c r="S21" i="136"/>
  <c r="S17" i="136"/>
  <c r="S13" i="136"/>
  <c r="S9" i="136"/>
  <c r="C24" i="46"/>
  <c r="G21" i="46"/>
  <c r="G24" i="46" s="1"/>
  <c r="S33" i="136"/>
  <c r="S35" i="136"/>
  <c r="S39" i="136"/>
  <c r="S75" i="136"/>
  <c r="S67" i="136"/>
  <c r="S55" i="136"/>
  <c r="S47" i="136"/>
  <c r="S43" i="136"/>
  <c r="S31" i="136"/>
  <c r="S23" i="136"/>
  <c r="S19" i="136"/>
  <c r="S15" i="136"/>
  <c r="S11" i="136"/>
  <c r="S7" i="136"/>
  <c r="S27" i="136"/>
  <c r="S70" i="136"/>
  <c r="S38" i="136"/>
  <c r="S14" i="136"/>
  <c r="S60" i="136"/>
  <c r="S40" i="136"/>
  <c r="S24" i="136"/>
  <c r="S8" i="136"/>
  <c r="S50" i="136"/>
  <c r="S42" i="136"/>
  <c r="S54" i="136"/>
  <c r="S26" i="136"/>
  <c r="S68" i="136"/>
  <c r="S48" i="136"/>
  <c r="S32" i="136"/>
  <c r="S16" i="136"/>
  <c r="S66" i="136"/>
  <c r="S18" i="136"/>
  <c r="R49" i="117"/>
  <c r="AG48" i="72" s="1"/>
  <c r="J48" i="100"/>
  <c r="P71" i="118"/>
  <c r="AH70" i="72" s="1"/>
  <c r="K70" i="100"/>
  <c r="P61" i="118"/>
  <c r="Q61" i="118" s="1"/>
  <c r="S61" i="118" s="1"/>
  <c r="T61" i="118" s="1"/>
  <c r="L60" i="72" s="1"/>
  <c r="K60" i="100"/>
  <c r="P18" i="116"/>
  <c r="AF17" i="72" s="1"/>
  <c r="I17" i="100"/>
  <c r="F58" i="100"/>
  <c r="P59" i="113"/>
  <c r="AC58" i="72" s="1"/>
  <c r="P57" i="120"/>
  <c r="AJ56" i="72" s="1"/>
  <c r="M56" i="100"/>
  <c r="J22" i="100"/>
  <c r="R23" i="117"/>
  <c r="AG22" i="72" s="1"/>
  <c r="P55" i="113"/>
  <c r="Q55" i="113" s="1"/>
  <c r="S55" i="113" s="1"/>
  <c r="T55" i="113" s="1"/>
  <c r="F54" i="72" s="1"/>
  <c r="F54" i="100"/>
  <c r="P62" i="115"/>
  <c r="Q62" i="115" s="1"/>
  <c r="S62" i="115" s="1"/>
  <c r="T62" i="115" s="1"/>
  <c r="H61" i="72" s="1"/>
  <c r="H61" i="100"/>
  <c r="Q20" i="76"/>
  <c r="AQ22" i="72" s="1"/>
  <c r="Q19" i="113"/>
  <c r="S19" i="113" s="1"/>
  <c r="T19" i="113" s="1"/>
  <c r="F18" i="72" s="1"/>
  <c r="P51" i="114"/>
  <c r="Q51" i="114" s="1"/>
  <c r="S51" i="114" s="1"/>
  <c r="T51" i="114" s="1"/>
  <c r="G50" i="72" s="1"/>
  <c r="P34" i="116"/>
  <c r="AF33" i="72" s="1"/>
  <c r="P29" i="114"/>
  <c r="F43" i="100"/>
  <c r="P20" i="116"/>
  <c r="G22" i="100"/>
  <c r="F21" i="100"/>
  <c r="P48" i="119"/>
  <c r="Q48" i="119" s="1"/>
  <c r="S48" i="119" s="1"/>
  <c r="T48" i="119" s="1"/>
  <c r="M47" i="72" s="1"/>
  <c r="J60" i="100"/>
  <c r="P42" i="116"/>
  <c r="Q42" i="116" s="1"/>
  <c r="S42" i="116" s="1"/>
  <c r="T42" i="116" s="1"/>
  <c r="I41" i="72" s="1"/>
  <c r="P37" i="114"/>
  <c r="Q37" i="114" s="1"/>
  <c r="S37" i="114" s="1"/>
  <c r="T37" i="114" s="1"/>
  <c r="G36" i="72" s="1"/>
  <c r="P24" i="113"/>
  <c r="AC23" i="72" s="1"/>
  <c r="P21" i="118"/>
  <c r="AH20" i="72" s="1"/>
  <c r="G16" i="100"/>
  <c r="P17" i="114"/>
  <c r="AD16" i="72" s="1"/>
  <c r="P37" i="118"/>
  <c r="AH36" i="72" s="1"/>
  <c r="K36" i="100"/>
  <c r="P66" i="116"/>
  <c r="I65" i="100"/>
  <c r="G64" i="100"/>
  <c r="P65" i="114"/>
  <c r="Q65" i="114" s="1"/>
  <c r="S65" i="114" s="1"/>
  <c r="T65" i="114" s="1"/>
  <c r="G64" i="72" s="1"/>
  <c r="P27" i="118"/>
  <c r="K26" i="100"/>
  <c r="P20" i="113"/>
  <c r="Q20" i="113" s="1"/>
  <c r="S20" i="113" s="1"/>
  <c r="T20" i="113" s="1"/>
  <c r="F19" i="72" s="1"/>
  <c r="F19" i="100"/>
  <c r="P74" i="115"/>
  <c r="AE73" i="72" s="1"/>
  <c r="H73" i="100"/>
  <c r="P24" i="115"/>
  <c r="Q24" i="115" s="1"/>
  <c r="S24" i="115" s="1"/>
  <c r="T24" i="115" s="1"/>
  <c r="H23" i="72" s="1"/>
  <c r="H23" i="100"/>
  <c r="I31" i="100"/>
  <c r="Q28" i="76"/>
  <c r="R28" i="76" s="1"/>
  <c r="T28" i="76" s="1"/>
  <c r="U28" i="76" s="1"/>
  <c r="U30" i="72" s="1"/>
  <c r="Q72" i="119"/>
  <c r="S72" i="119" s="1"/>
  <c r="T72" i="119" s="1"/>
  <c r="M71" i="72" s="1"/>
  <c r="K10" i="100"/>
  <c r="Q21" i="114"/>
  <c r="S21" i="114" s="1"/>
  <c r="T21" i="114" s="1"/>
  <c r="G20" i="72" s="1"/>
  <c r="I61" i="100"/>
  <c r="Q56" i="120"/>
  <c r="S56" i="120" s="1"/>
  <c r="T56" i="120" s="1"/>
  <c r="N55" i="72" s="1"/>
  <c r="Q24" i="116"/>
  <c r="S24" i="116" s="1"/>
  <c r="T24" i="116" s="1"/>
  <c r="I23" i="72" s="1"/>
  <c r="Q47" i="115"/>
  <c r="S47" i="115" s="1"/>
  <c r="T47" i="115" s="1"/>
  <c r="H46" i="72" s="1"/>
  <c r="J8" i="100"/>
  <c r="P44" i="116"/>
  <c r="AF43" i="72" s="1"/>
  <c r="P68" i="113"/>
  <c r="AC67" i="72" s="1"/>
  <c r="I15" i="100"/>
  <c r="P26" i="113"/>
  <c r="Q26" i="113" s="1"/>
  <c r="S26" i="113" s="1"/>
  <c r="T26" i="113" s="1"/>
  <c r="F25" i="72" s="1"/>
  <c r="P67" i="118"/>
  <c r="Q67" i="118" s="1"/>
  <c r="S67" i="118" s="1"/>
  <c r="T67" i="118" s="1"/>
  <c r="L66" i="72" s="1"/>
  <c r="P25" i="120"/>
  <c r="M74" i="100"/>
  <c r="J12" i="100"/>
  <c r="P38" i="119"/>
  <c r="AI37" i="72" s="1"/>
  <c r="L37" i="100"/>
  <c r="R25" i="117"/>
  <c r="S25" i="117" s="1"/>
  <c r="U25" i="117" s="1"/>
  <c r="V25" i="117" s="1"/>
  <c r="K24" i="72" s="1"/>
  <c r="R41" i="117"/>
  <c r="AG40" i="72" s="1"/>
  <c r="N5" i="117"/>
  <c r="O5" i="117" s="1"/>
  <c r="P5" i="117" s="1"/>
  <c r="Q5" i="117" s="1"/>
  <c r="R5" i="117" s="1"/>
  <c r="S5" i="117" s="1"/>
  <c r="T5" i="117" s="1"/>
  <c r="U5" i="117" s="1"/>
  <c r="V5" i="117" s="1"/>
  <c r="W5" i="117" s="1"/>
  <c r="X5" i="117" s="1"/>
  <c r="V38" i="46"/>
  <c r="F20" i="33"/>
  <c r="F28" i="33"/>
  <c r="G28" i="33" s="1"/>
  <c r="F34" i="33"/>
  <c r="H34" i="33" s="1"/>
  <c r="F58" i="33"/>
  <c r="F60" i="33"/>
  <c r="G60" i="33" s="1"/>
  <c r="Q34" i="76"/>
  <c r="R34" i="76" s="1"/>
  <c r="T34" i="76" s="1"/>
  <c r="U34" i="76" s="1"/>
  <c r="U36" i="72" s="1"/>
  <c r="Q62" i="80"/>
  <c r="AR64" i="72" s="1"/>
  <c r="Q8" i="80"/>
  <c r="AR10" i="72" s="1"/>
  <c r="T44" i="100"/>
  <c r="U66" i="100"/>
  <c r="Q11" i="113"/>
  <c r="S11" i="113" s="1"/>
  <c r="T11" i="113" s="1"/>
  <c r="F10" i="72" s="1"/>
  <c r="Q11" i="120"/>
  <c r="S11" i="120" s="1"/>
  <c r="T11" i="120" s="1"/>
  <c r="N10" i="72" s="1"/>
  <c r="P51" i="120"/>
  <c r="AJ50" i="72" s="1"/>
  <c r="G30" i="100"/>
  <c r="G62" i="100"/>
  <c r="P47" i="120"/>
  <c r="Q47" i="120" s="1"/>
  <c r="S47" i="120" s="1"/>
  <c r="T47" i="120" s="1"/>
  <c r="N46" i="72" s="1"/>
  <c r="P70" i="114"/>
  <c r="AD69" i="72" s="1"/>
  <c r="P57" i="118"/>
  <c r="Q57" i="118" s="1"/>
  <c r="S57" i="118" s="1"/>
  <c r="T57" i="118" s="1"/>
  <c r="L56" i="72" s="1"/>
  <c r="J38" i="100"/>
  <c r="P56" i="113"/>
  <c r="AC55" i="72" s="1"/>
  <c r="P66" i="118"/>
  <c r="P74" i="119"/>
  <c r="AI73" i="72" s="1"/>
  <c r="L25" i="100"/>
  <c r="G70" i="100"/>
  <c r="P46" i="113"/>
  <c r="Q46" i="113" s="1"/>
  <c r="S46" i="113" s="1"/>
  <c r="T46" i="113" s="1"/>
  <c r="F45" i="72" s="1"/>
  <c r="I23" i="100"/>
  <c r="F9" i="100"/>
  <c r="P32" i="113"/>
  <c r="AC31" i="72" s="1"/>
  <c r="I28" i="100"/>
  <c r="I63" i="100"/>
  <c r="M26" i="100"/>
  <c r="K41" i="100"/>
  <c r="P45" i="120"/>
  <c r="AJ44" i="72" s="1"/>
  <c r="R33" i="117"/>
  <c r="AG32" i="72" s="1"/>
  <c r="H13" i="100"/>
  <c r="H51" i="100"/>
  <c r="P48" i="115"/>
  <c r="AE47" i="72" s="1"/>
  <c r="M18" i="46"/>
  <c r="M38" i="46" s="1"/>
  <c r="W13" i="46"/>
  <c r="X13" i="46" s="1"/>
  <c r="Q58" i="126"/>
  <c r="S58" i="126" s="1"/>
  <c r="T58" i="126" s="1"/>
  <c r="P57" i="72" s="1"/>
  <c r="AP52" i="72"/>
  <c r="Q53" i="131"/>
  <c r="S53" i="131" s="1"/>
  <c r="T53" i="131" s="1"/>
  <c r="T52" i="72" s="1"/>
  <c r="I76" i="67"/>
  <c r="E74" i="81" s="1"/>
  <c r="AP14" i="72"/>
  <c r="P15" i="126"/>
  <c r="Q15" i="126" s="1"/>
  <c r="S15" i="126" s="1"/>
  <c r="T15" i="126" s="1"/>
  <c r="P14" i="72" s="1"/>
  <c r="P42" i="125"/>
  <c r="Q42" i="125" s="1"/>
  <c r="S42" i="125" s="1"/>
  <c r="T42" i="125" s="1"/>
  <c r="O41" i="72" s="1"/>
  <c r="P13" i="131"/>
  <c r="AM60" i="72"/>
  <c r="AO64" i="72"/>
  <c r="AP30" i="72"/>
  <c r="Q69" i="127"/>
  <c r="S69" i="127" s="1"/>
  <c r="T69" i="127" s="1"/>
  <c r="Q68" i="72" s="1"/>
  <c r="Q49" i="129"/>
  <c r="S49" i="129" s="1"/>
  <c r="T49" i="129" s="1"/>
  <c r="S48" i="72" s="1"/>
  <c r="Q57" i="131"/>
  <c r="S57" i="131" s="1"/>
  <c r="T57" i="131" s="1"/>
  <c r="T56" i="72" s="1"/>
  <c r="Q13" i="129"/>
  <c r="S13" i="129" s="1"/>
  <c r="T13" i="129" s="1"/>
  <c r="S12" i="72" s="1"/>
  <c r="P69" i="131"/>
  <c r="AP68" i="72" s="1"/>
  <c r="P19" i="131"/>
  <c r="Q19" i="131" s="1"/>
  <c r="S19" i="131" s="1"/>
  <c r="T19" i="131" s="1"/>
  <c r="T18" i="72" s="1"/>
  <c r="Q37" i="129"/>
  <c r="S37" i="129" s="1"/>
  <c r="T37" i="129" s="1"/>
  <c r="S36" i="72" s="1"/>
  <c r="P21" i="129"/>
  <c r="AO20" i="72" s="1"/>
  <c r="P18" i="129"/>
  <c r="Q18" i="129" s="1"/>
  <c r="S18" i="129" s="1"/>
  <c r="T18" i="129" s="1"/>
  <c r="S17" i="72" s="1"/>
  <c r="P63" i="129"/>
  <c r="P41" i="127"/>
  <c r="Q41" i="127" s="1"/>
  <c r="S41" i="127" s="1"/>
  <c r="T41" i="127" s="1"/>
  <c r="Q40" i="72" s="1"/>
  <c r="P75" i="125"/>
  <c r="Q75" i="125" s="1"/>
  <c r="S75" i="125" s="1"/>
  <c r="T75" i="125" s="1"/>
  <c r="O74" i="72" s="1"/>
  <c r="P31" i="125"/>
  <c r="AK30" i="72" s="1"/>
  <c r="P25" i="125"/>
  <c r="AK24" i="72" s="1"/>
  <c r="P9" i="125"/>
  <c r="P29" i="128"/>
  <c r="AN28" i="72" s="1"/>
  <c r="R58" i="100"/>
  <c r="Q56" i="100"/>
  <c r="P50" i="126"/>
  <c r="AL49" i="72" s="1"/>
  <c r="P19" i="127"/>
  <c r="AM18" i="72" s="1"/>
  <c r="O46" i="100"/>
  <c r="S54" i="100"/>
  <c r="N14" i="100"/>
  <c r="N44" i="100"/>
  <c r="K77" i="1"/>
  <c r="E23" i="81" s="1"/>
  <c r="G23" i="81" s="1"/>
  <c r="Q41" i="126"/>
  <c r="S41" i="126" s="1"/>
  <c r="T41" i="126" s="1"/>
  <c r="P40" i="72" s="1"/>
  <c r="Q41" i="129"/>
  <c r="S41" i="129" s="1"/>
  <c r="T41" i="129" s="1"/>
  <c r="S40" i="72" s="1"/>
  <c r="G30" i="46"/>
  <c r="G36" i="46"/>
  <c r="C18" i="46"/>
  <c r="C38" i="46" s="1"/>
  <c r="W10" i="46"/>
  <c r="X10" i="46" s="1"/>
  <c r="W16" i="46"/>
  <c r="X16" i="46" s="1"/>
  <c r="W14" i="46"/>
  <c r="X14" i="46" s="1"/>
  <c r="AI25" i="72"/>
  <c r="Q26" i="119"/>
  <c r="S26" i="119" s="1"/>
  <c r="T26" i="119" s="1"/>
  <c r="M25" i="72" s="1"/>
  <c r="AG38" i="72"/>
  <c r="S39" i="117"/>
  <c r="U39" i="117" s="1"/>
  <c r="V39" i="117" s="1"/>
  <c r="K38" i="72" s="1"/>
  <c r="AL46" i="72"/>
  <c r="Q47" i="126"/>
  <c r="S47" i="126" s="1"/>
  <c r="T47" i="126" s="1"/>
  <c r="P46" i="72" s="1"/>
  <c r="P15" i="113"/>
  <c r="AC14" i="72" s="1"/>
  <c r="F14" i="100"/>
  <c r="P51" i="113"/>
  <c r="AC50" i="72" s="1"/>
  <c r="F50" i="100"/>
  <c r="P18" i="114"/>
  <c r="AD17" i="72" s="1"/>
  <c r="G17" i="100"/>
  <c r="G29" i="100"/>
  <c r="P30" i="114"/>
  <c r="P34" i="114"/>
  <c r="AD33" i="72" s="1"/>
  <c r="G33" i="100"/>
  <c r="P50" i="114"/>
  <c r="Q50" i="114" s="1"/>
  <c r="S50" i="114" s="1"/>
  <c r="T50" i="114" s="1"/>
  <c r="G49" i="72" s="1"/>
  <c r="G49" i="100"/>
  <c r="P9" i="116"/>
  <c r="AF8" i="72" s="1"/>
  <c r="I8" i="100"/>
  <c r="P17" i="116"/>
  <c r="I16" i="100"/>
  <c r="I24" i="100"/>
  <c r="P25" i="116"/>
  <c r="P33" i="116"/>
  <c r="Q33" i="116" s="1"/>
  <c r="S33" i="116" s="1"/>
  <c r="T33" i="116" s="1"/>
  <c r="I32" i="72" s="1"/>
  <c r="I32" i="100"/>
  <c r="P57" i="116"/>
  <c r="I56" i="100"/>
  <c r="I68" i="100"/>
  <c r="P69" i="116"/>
  <c r="J7" i="100"/>
  <c r="R8" i="117"/>
  <c r="AG7" i="72" s="1"/>
  <c r="J19" i="100"/>
  <c r="R20" i="117"/>
  <c r="S20" i="117" s="1"/>
  <c r="U20" i="117" s="1"/>
  <c r="V20" i="117" s="1"/>
  <c r="K19" i="72" s="1"/>
  <c r="J43" i="100"/>
  <c r="R44" i="117"/>
  <c r="S44" i="117" s="1"/>
  <c r="U44" i="117" s="1"/>
  <c r="V44" i="117" s="1"/>
  <c r="K43" i="72" s="1"/>
  <c r="J55" i="100"/>
  <c r="R56" i="117"/>
  <c r="AG55" i="72" s="1"/>
  <c r="H6" i="100"/>
  <c r="P7" i="115"/>
  <c r="Q7" i="115" s="1"/>
  <c r="S7" i="115" s="1"/>
  <c r="T7" i="115" s="1"/>
  <c r="H6" i="72" s="1"/>
  <c r="P43" i="115"/>
  <c r="AE42" i="72" s="1"/>
  <c r="H42" i="100"/>
  <c r="H62" i="100"/>
  <c r="P63" i="115"/>
  <c r="Q63" i="115" s="1"/>
  <c r="S63" i="115" s="1"/>
  <c r="T63" i="115" s="1"/>
  <c r="H62" i="72" s="1"/>
  <c r="P18" i="118"/>
  <c r="Q18" i="118" s="1"/>
  <c r="S18" i="118" s="1"/>
  <c r="T18" i="118" s="1"/>
  <c r="L17" i="72" s="1"/>
  <c r="K17" i="100"/>
  <c r="K29" i="100"/>
  <c r="P30" i="118"/>
  <c r="AH29" i="72" s="1"/>
  <c r="P34" i="118"/>
  <c r="K33" i="100"/>
  <c r="L8" i="100"/>
  <c r="P9" i="119"/>
  <c r="AI8" i="72" s="1"/>
  <c r="P33" i="119"/>
  <c r="L32" i="100"/>
  <c r="L60" i="100"/>
  <c r="P61" i="119"/>
  <c r="AI60" i="72" s="1"/>
  <c r="L64" i="100"/>
  <c r="P65" i="119"/>
  <c r="AI64" i="72" s="1"/>
  <c r="L68" i="100"/>
  <c r="P69" i="119"/>
  <c r="AI68" i="72" s="1"/>
  <c r="M11" i="100"/>
  <c r="P12" i="120"/>
  <c r="AJ11" i="72" s="1"/>
  <c r="P28" i="120"/>
  <c r="AJ27" i="72" s="1"/>
  <c r="M27" i="100"/>
  <c r="P60" i="120"/>
  <c r="AJ59" i="72" s="1"/>
  <c r="M59" i="100"/>
  <c r="M67" i="100"/>
  <c r="P68" i="120"/>
  <c r="Q68" i="120" s="1"/>
  <c r="S68" i="120" s="1"/>
  <c r="T68" i="120" s="1"/>
  <c r="N67" i="72" s="1"/>
  <c r="N13" i="100"/>
  <c r="P14" i="125"/>
  <c r="AK13" i="72" s="1"/>
  <c r="N21" i="100"/>
  <c r="P22" i="125"/>
  <c r="Q22" i="125" s="1"/>
  <c r="S22" i="125" s="1"/>
  <c r="T22" i="125" s="1"/>
  <c r="O21" i="72" s="1"/>
  <c r="N37" i="100"/>
  <c r="P38" i="125"/>
  <c r="AK37" i="72" s="1"/>
  <c r="N53" i="100"/>
  <c r="P54" i="125"/>
  <c r="N57" i="100"/>
  <c r="P58" i="125"/>
  <c r="AK57" i="72" s="1"/>
  <c r="N61" i="100"/>
  <c r="P62" i="125"/>
  <c r="AK61" i="72" s="1"/>
  <c r="N69" i="100"/>
  <c r="P70" i="125"/>
  <c r="AK69" i="72" s="1"/>
  <c r="S25" i="100"/>
  <c r="P26" i="131"/>
  <c r="AP25" i="72" s="1"/>
  <c r="S29" i="100"/>
  <c r="P30" i="131"/>
  <c r="AP29" i="72" s="1"/>
  <c r="S33" i="100"/>
  <c r="P34" i="131"/>
  <c r="AP33" i="72" s="1"/>
  <c r="S41" i="100"/>
  <c r="P42" i="131"/>
  <c r="AP41" i="72" s="1"/>
  <c r="P58" i="131"/>
  <c r="AP57" i="72" s="1"/>
  <c r="S57" i="100"/>
  <c r="S61" i="100"/>
  <c r="P62" i="131"/>
  <c r="S65" i="100"/>
  <c r="P66" i="131"/>
  <c r="AP65" i="72" s="1"/>
  <c r="R21" i="100"/>
  <c r="P22" i="129"/>
  <c r="AO21" i="72" s="1"/>
  <c r="P30" i="129"/>
  <c r="AO29" i="72" s="1"/>
  <c r="R29" i="100"/>
  <c r="R41" i="100"/>
  <c r="P42" i="129"/>
  <c r="AO41" i="72" s="1"/>
  <c r="R73" i="100"/>
  <c r="P74" i="129"/>
  <c r="AO73" i="72" s="1"/>
  <c r="Q13" i="100"/>
  <c r="P14" i="128"/>
  <c r="AN13" i="72" s="1"/>
  <c r="Q25" i="100"/>
  <c r="P26" i="128"/>
  <c r="AN25" i="72" s="1"/>
  <c r="Q29" i="100"/>
  <c r="P30" i="128"/>
  <c r="AN29" i="72" s="1"/>
  <c r="AN41" i="72"/>
  <c r="Q42" i="128"/>
  <c r="S42" i="128" s="1"/>
  <c r="T42" i="128" s="1"/>
  <c r="R41" i="72" s="1"/>
  <c r="AN65" i="72"/>
  <c r="Q66" i="128"/>
  <c r="S66" i="128" s="1"/>
  <c r="T66" i="128" s="1"/>
  <c r="R65" i="72" s="1"/>
  <c r="P18" i="127"/>
  <c r="AM17" i="72" s="1"/>
  <c r="P17" i="100"/>
  <c r="P22" i="127"/>
  <c r="AM21" i="72" s="1"/>
  <c r="P21" i="100"/>
  <c r="P50" i="127"/>
  <c r="AM49" i="72" s="1"/>
  <c r="P49" i="100"/>
  <c r="O21" i="100"/>
  <c r="P22" i="126"/>
  <c r="AL21" i="72" s="1"/>
  <c r="O29" i="100"/>
  <c r="P30" i="126"/>
  <c r="AL29" i="72" s="1"/>
  <c r="P46" i="126"/>
  <c r="AL45" i="72" s="1"/>
  <c r="O45" i="100"/>
  <c r="P66" i="126"/>
  <c r="AL65" i="72" s="1"/>
  <c r="O65" i="100"/>
  <c r="O73" i="100"/>
  <c r="P74" i="126"/>
  <c r="AL73" i="72" s="1"/>
  <c r="Q25" i="76"/>
  <c r="R25" i="76" s="1"/>
  <c r="T25" i="76" s="1"/>
  <c r="U25" i="76" s="1"/>
  <c r="U27" i="72" s="1"/>
  <c r="T27" i="100"/>
  <c r="T35" i="100"/>
  <c r="Q33" i="76"/>
  <c r="AQ35" i="72" s="1"/>
  <c r="U15" i="100"/>
  <c r="Q13" i="80"/>
  <c r="AR15" i="72" s="1"/>
  <c r="H13" i="81"/>
  <c r="AG60" i="72"/>
  <c r="S61" i="117"/>
  <c r="U61" i="117" s="1"/>
  <c r="V61" i="117" s="1"/>
  <c r="K60" i="72" s="1"/>
  <c r="AH8" i="72"/>
  <c r="Q9" i="118"/>
  <c r="S9" i="118" s="1"/>
  <c r="T9" i="118" s="1"/>
  <c r="L8" i="72" s="1"/>
  <c r="AE31" i="72"/>
  <c r="Q32" i="115"/>
  <c r="S32" i="115" s="1"/>
  <c r="T32" i="115" s="1"/>
  <c r="H31" i="72" s="1"/>
  <c r="Q23" i="129"/>
  <c r="S23" i="129" s="1"/>
  <c r="T23" i="129" s="1"/>
  <c r="S22" i="72" s="1"/>
  <c r="AO22" i="72"/>
  <c r="F50" i="33"/>
  <c r="H50" i="33" s="1"/>
  <c r="F66" i="33"/>
  <c r="H66" i="33" s="1"/>
  <c r="F70" i="33"/>
  <c r="R70" i="76"/>
  <c r="T70" i="76" s="1"/>
  <c r="U70" i="76" s="1"/>
  <c r="U72" i="72" s="1"/>
  <c r="L9" i="31"/>
  <c r="O76" i="129"/>
  <c r="F10" i="33"/>
  <c r="F16" i="33"/>
  <c r="F74" i="33"/>
  <c r="G74" i="33" s="1"/>
  <c r="T72" i="80"/>
  <c r="U72" i="80" s="1"/>
  <c r="V74" i="72" s="1"/>
  <c r="Q52" i="80"/>
  <c r="Q56" i="80"/>
  <c r="R56" i="80" s="1"/>
  <c r="T56" i="80" s="1"/>
  <c r="U56" i="80" s="1"/>
  <c r="V58" i="72" s="1"/>
  <c r="Q45" i="80"/>
  <c r="AR56" i="72"/>
  <c r="Q54" i="76"/>
  <c r="R54" i="76" s="1"/>
  <c r="T54" i="76" s="1"/>
  <c r="U54" i="76" s="1"/>
  <c r="U56" i="72" s="1"/>
  <c r="Q48" i="80"/>
  <c r="R48" i="80" s="1"/>
  <c r="T48" i="80" s="1"/>
  <c r="U48" i="80" s="1"/>
  <c r="V50" i="72" s="1"/>
  <c r="Q35" i="80"/>
  <c r="Q30" i="80"/>
  <c r="Q42" i="80"/>
  <c r="AR44" i="72" s="1"/>
  <c r="Q11" i="80"/>
  <c r="AR13" i="72" s="1"/>
  <c r="Q50" i="76"/>
  <c r="Q60" i="80"/>
  <c r="Q70" i="80"/>
  <c r="R70" i="80" s="1"/>
  <c r="T70" i="80" s="1"/>
  <c r="U70" i="80" s="1"/>
  <c r="V72" i="72" s="1"/>
  <c r="U42" i="100"/>
  <c r="T32" i="100"/>
  <c r="U39" i="100"/>
  <c r="U56" i="100"/>
  <c r="T63" i="100"/>
  <c r="U74" i="100"/>
  <c r="U40" i="100"/>
  <c r="T72" i="100"/>
  <c r="Q35" i="46"/>
  <c r="Q28" i="46"/>
  <c r="U28" i="46" s="1"/>
  <c r="W28" i="46" s="1"/>
  <c r="X28" i="46" s="1"/>
  <c r="Q33" i="118"/>
  <c r="S33" i="118" s="1"/>
  <c r="T33" i="118" s="1"/>
  <c r="L32" i="72" s="1"/>
  <c r="Q57" i="114"/>
  <c r="S57" i="114" s="1"/>
  <c r="T57" i="114" s="1"/>
  <c r="G56" i="72" s="1"/>
  <c r="Q44" i="113"/>
  <c r="S44" i="113" s="1"/>
  <c r="T44" i="113" s="1"/>
  <c r="F43" i="72" s="1"/>
  <c r="F7" i="100"/>
  <c r="F18" i="100"/>
  <c r="P19" i="116"/>
  <c r="P15" i="114"/>
  <c r="AD14" i="72" s="1"/>
  <c r="Q32" i="120"/>
  <c r="S32" i="120" s="1"/>
  <c r="T32" i="120" s="1"/>
  <c r="N31" i="72" s="1"/>
  <c r="Q41" i="119"/>
  <c r="S41" i="119" s="1"/>
  <c r="T41" i="119" s="1"/>
  <c r="M40" i="72" s="1"/>
  <c r="Q48" i="113"/>
  <c r="S48" i="113" s="1"/>
  <c r="T48" i="113" s="1"/>
  <c r="F47" i="72" s="1"/>
  <c r="Q59" i="118"/>
  <c r="S59" i="118" s="1"/>
  <c r="T59" i="118" s="1"/>
  <c r="L58" i="72" s="1"/>
  <c r="P9" i="114"/>
  <c r="Q9" i="114" s="1"/>
  <c r="S9" i="114" s="1"/>
  <c r="T9" i="114" s="1"/>
  <c r="G8" i="72" s="1"/>
  <c r="G68" i="100"/>
  <c r="R35" i="117"/>
  <c r="AG34" i="72" s="1"/>
  <c r="R27" i="117"/>
  <c r="L17" i="100"/>
  <c r="F15" i="100"/>
  <c r="G60" i="100"/>
  <c r="P38" i="114"/>
  <c r="AD37" i="72" s="1"/>
  <c r="P29" i="120"/>
  <c r="AJ28" i="72" s="1"/>
  <c r="R68" i="117"/>
  <c r="AG67" i="72" s="1"/>
  <c r="R48" i="117"/>
  <c r="L40" i="100"/>
  <c r="F74" i="100"/>
  <c r="P42" i="114"/>
  <c r="AD41" i="72" s="1"/>
  <c r="L49" i="100"/>
  <c r="K57" i="100"/>
  <c r="P31" i="115"/>
  <c r="AE30" i="72" s="1"/>
  <c r="H46" i="100"/>
  <c r="H29" i="100"/>
  <c r="H58" i="100"/>
  <c r="P28" i="115"/>
  <c r="Q28" i="115" s="1"/>
  <c r="S28" i="115" s="1"/>
  <c r="T28" i="115" s="1"/>
  <c r="H27" i="72" s="1"/>
  <c r="Q15" i="46"/>
  <c r="U15" i="46" s="1"/>
  <c r="W15" i="46" s="1"/>
  <c r="X15" i="46" s="1"/>
  <c r="G19" i="2"/>
  <c r="H19" i="2" s="1"/>
  <c r="G39" i="2"/>
  <c r="H39" i="2" s="1"/>
  <c r="G15" i="2"/>
  <c r="H15" i="2" s="1"/>
  <c r="G67" i="2"/>
  <c r="H67" i="2" s="1"/>
  <c r="G13" i="2"/>
  <c r="H13" i="2" s="1"/>
  <c r="G53" i="2"/>
  <c r="H53" i="2" s="1"/>
  <c r="G41" i="2"/>
  <c r="H41" i="2" s="1"/>
  <c r="G59" i="2"/>
  <c r="H59" i="2" s="1"/>
  <c r="G23" i="2"/>
  <c r="H23" i="2" s="1"/>
  <c r="G31" i="2"/>
  <c r="H31" i="2" s="1"/>
  <c r="I43" i="2"/>
  <c r="G11" i="46"/>
  <c r="G18" i="46" s="1"/>
  <c r="G65" i="2"/>
  <c r="H65" i="2" s="1"/>
  <c r="G61" i="2"/>
  <c r="H61" i="2" s="1"/>
  <c r="G57" i="2"/>
  <c r="H57" i="2" s="1"/>
  <c r="G49" i="2"/>
  <c r="H49" i="2" s="1"/>
  <c r="G37" i="2"/>
  <c r="H37" i="2" s="1"/>
  <c r="G29" i="2"/>
  <c r="H29" i="2" s="1"/>
  <c r="G17" i="2"/>
  <c r="H17" i="2" s="1"/>
  <c r="I25" i="2"/>
  <c r="I31" i="2"/>
  <c r="G31" i="46"/>
  <c r="L66" i="31"/>
  <c r="M66" i="31" s="1"/>
  <c r="Q25" i="131"/>
  <c r="S25" i="131" s="1"/>
  <c r="T25" i="131" s="1"/>
  <c r="T24" i="72" s="1"/>
  <c r="P7" i="125"/>
  <c r="AK6" i="72" s="1"/>
  <c r="P41" i="125"/>
  <c r="Q41" i="125" s="1"/>
  <c r="S41" i="125" s="1"/>
  <c r="T41" i="125" s="1"/>
  <c r="O40" i="72" s="1"/>
  <c r="P11" i="126"/>
  <c r="AL10" i="72" s="1"/>
  <c r="P39" i="126"/>
  <c r="P73" i="126"/>
  <c r="P75" i="129"/>
  <c r="Q75" i="129" s="1"/>
  <c r="S75" i="129" s="1"/>
  <c r="T75" i="129" s="1"/>
  <c r="S74" i="72" s="1"/>
  <c r="P19" i="125"/>
  <c r="AK18" i="72" s="1"/>
  <c r="P26" i="126"/>
  <c r="Q26" i="126" s="1"/>
  <c r="S26" i="126" s="1"/>
  <c r="T26" i="126" s="1"/>
  <c r="P25" i="72" s="1"/>
  <c r="P22" i="131"/>
  <c r="Q22" i="131" s="1"/>
  <c r="S22" i="131" s="1"/>
  <c r="T22" i="131" s="1"/>
  <c r="T21" i="72" s="1"/>
  <c r="Q47" i="125"/>
  <c r="S47" i="125" s="1"/>
  <c r="T47" i="125" s="1"/>
  <c r="O46" i="72" s="1"/>
  <c r="Q53" i="125"/>
  <c r="S53" i="125" s="1"/>
  <c r="T53" i="125" s="1"/>
  <c r="O52" i="72" s="1"/>
  <c r="AM8" i="72"/>
  <c r="Q42" i="127"/>
  <c r="S42" i="127" s="1"/>
  <c r="T42" i="127" s="1"/>
  <c r="Q41" i="72" s="1"/>
  <c r="AO60" i="72"/>
  <c r="Q74" i="131"/>
  <c r="S74" i="131" s="1"/>
  <c r="T74" i="131" s="1"/>
  <c r="T73" i="72" s="1"/>
  <c r="Q34" i="127"/>
  <c r="S34" i="127" s="1"/>
  <c r="T34" i="127" s="1"/>
  <c r="Q33" i="72" s="1"/>
  <c r="Q18" i="128"/>
  <c r="S18" i="128" s="1"/>
  <c r="T18" i="128" s="1"/>
  <c r="R17" i="72" s="1"/>
  <c r="Q69" i="125"/>
  <c r="S69" i="125" s="1"/>
  <c r="T69" i="125" s="1"/>
  <c r="O68" i="72" s="1"/>
  <c r="Q45" i="126"/>
  <c r="S45" i="126" s="1"/>
  <c r="T45" i="126" s="1"/>
  <c r="P44" i="72" s="1"/>
  <c r="Q59" i="126"/>
  <c r="S59" i="126" s="1"/>
  <c r="T59" i="126" s="1"/>
  <c r="P58" i="72" s="1"/>
  <c r="Q21" i="127"/>
  <c r="S21" i="127" s="1"/>
  <c r="T21" i="127" s="1"/>
  <c r="Q20" i="72" s="1"/>
  <c r="Q54" i="127"/>
  <c r="S54" i="127" s="1"/>
  <c r="T54" i="127" s="1"/>
  <c r="Q53" i="72" s="1"/>
  <c r="Q10" i="129"/>
  <c r="S10" i="129" s="1"/>
  <c r="T10" i="129" s="1"/>
  <c r="S9" i="72" s="1"/>
  <c r="Q34" i="129"/>
  <c r="S34" i="129" s="1"/>
  <c r="T34" i="129" s="1"/>
  <c r="S33" i="72" s="1"/>
  <c r="Q47" i="129"/>
  <c r="S47" i="129" s="1"/>
  <c r="T47" i="129" s="1"/>
  <c r="S46" i="72" s="1"/>
  <c r="Q47" i="131"/>
  <c r="S47" i="131" s="1"/>
  <c r="T47" i="131" s="1"/>
  <c r="T46" i="72" s="1"/>
  <c r="Q57" i="128"/>
  <c r="S57" i="128" s="1"/>
  <c r="T57" i="128" s="1"/>
  <c r="R56" i="72" s="1"/>
  <c r="Q46" i="128"/>
  <c r="S46" i="128" s="1"/>
  <c r="T46" i="128" s="1"/>
  <c r="R45" i="72" s="1"/>
  <c r="Q27" i="129"/>
  <c r="S27" i="129" s="1"/>
  <c r="T27" i="129" s="1"/>
  <c r="S26" i="72" s="1"/>
  <c r="Q31" i="129"/>
  <c r="S31" i="129" s="1"/>
  <c r="T31" i="129" s="1"/>
  <c r="S30" i="72" s="1"/>
  <c r="P73" i="131"/>
  <c r="AP72" i="72" s="1"/>
  <c r="P70" i="131"/>
  <c r="P65" i="131"/>
  <c r="Q65" i="131" s="1"/>
  <c r="S65" i="131" s="1"/>
  <c r="T65" i="131" s="1"/>
  <c r="T64" i="72" s="1"/>
  <c r="P9" i="131"/>
  <c r="P37" i="131"/>
  <c r="AP36" i="72" s="1"/>
  <c r="P29" i="131"/>
  <c r="P18" i="131"/>
  <c r="AP17" i="72" s="1"/>
  <c r="Q46" i="129"/>
  <c r="S46" i="129" s="1"/>
  <c r="T46" i="129" s="1"/>
  <c r="S45" i="72" s="1"/>
  <c r="Q58" i="128"/>
  <c r="S58" i="128" s="1"/>
  <c r="T58" i="128" s="1"/>
  <c r="R57" i="72" s="1"/>
  <c r="Q50" i="128"/>
  <c r="S50" i="128" s="1"/>
  <c r="T50" i="128" s="1"/>
  <c r="R49" i="72" s="1"/>
  <c r="P34" i="128"/>
  <c r="AN33" i="72" s="1"/>
  <c r="Q59" i="127"/>
  <c r="S59" i="127" s="1"/>
  <c r="T59" i="127" s="1"/>
  <c r="Q58" i="72" s="1"/>
  <c r="P70" i="129"/>
  <c r="P62" i="129"/>
  <c r="Q62" i="129" s="1"/>
  <c r="S62" i="129" s="1"/>
  <c r="T62" i="129" s="1"/>
  <c r="S61" i="72" s="1"/>
  <c r="P38" i="129"/>
  <c r="Q38" i="129" s="1"/>
  <c r="S38" i="129" s="1"/>
  <c r="T38" i="129" s="1"/>
  <c r="S37" i="72" s="1"/>
  <c r="P73" i="127"/>
  <c r="Q73" i="127" s="1"/>
  <c r="S73" i="127" s="1"/>
  <c r="T73" i="127" s="1"/>
  <c r="Q72" i="72" s="1"/>
  <c r="P70" i="127"/>
  <c r="AM69" i="72" s="1"/>
  <c r="P65" i="127"/>
  <c r="AM64" i="72" s="1"/>
  <c r="P62" i="127"/>
  <c r="Q62" i="127" s="1"/>
  <c r="S62" i="127" s="1"/>
  <c r="T62" i="127" s="1"/>
  <c r="Q61" i="72" s="1"/>
  <c r="P47" i="127"/>
  <c r="Q47" i="127" s="1"/>
  <c r="S47" i="127" s="1"/>
  <c r="T47" i="127" s="1"/>
  <c r="Q46" i="72" s="1"/>
  <c r="P45" i="127"/>
  <c r="Q45" i="127" s="1"/>
  <c r="S45" i="127" s="1"/>
  <c r="T45" i="127" s="1"/>
  <c r="Q44" i="72" s="1"/>
  <c r="P27" i="127"/>
  <c r="P67" i="126"/>
  <c r="Q67" i="126" s="1"/>
  <c r="S67" i="126" s="1"/>
  <c r="T67" i="126" s="1"/>
  <c r="P66" i="72" s="1"/>
  <c r="P55" i="125"/>
  <c r="Q55" i="125" s="1"/>
  <c r="S55" i="125" s="1"/>
  <c r="T55" i="125" s="1"/>
  <c r="O54" i="72" s="1"/>
  <c r="P50" i="125"/>
  <c r="P33" i="125"/>
  <c r="P29" i="125"/>
  <c r="AK28" i="72" s="1"/>
  <c r="P10" i="125"/>
  <c r="P37" i="128"/>
  <c r="Q37" i="128" s="1"/>
  <c r="S37" i="128" s="1"/>
  <c r="T37" i="128" s="1"/>
  <c r="R36" i="72" s="1"/>
  <c r="P25" i="128"/>
  <c r="P13" i="128"/>
  <c r="AN12" i="72" s="1"/>
  <c r="P7" i="128"/>
  <c r="AN6" i="72" s="1"/>
  <c r="P39" i="127"/>
  <c r="Q39" i="127" s="1"/>
  <c r="S39" i="127" s="1"/>
  <c r="T39" i="127" s="1"/>
  <c r="Q38" i="72" s="1"/>
  <c r="P30" i="127"/>
  <c r="P15" i="127"/>
  <c r="AM14" i="72" s="1"/>
  <c r="P13" i="127"/>
  <c r="AM12" i="72" s="1"/>
  <c r="P18" i="126"/>
  <c r="AL17" i="72" s="1"/>
  <c r="P9" i="126"/>
  <c r="P33" i="126"/>
  <c r="AL32" i="72" s="1"/>
  <c r="P55" i="129"/>
  <c r="R22" i="100"/>
  <c r="P53" i="100"/>
  <c r="P20" i="100"/>
  <c r="Q65" i="100"/>
  <c r="AP53" i="72"/>
  <c r="P57" i="129"/>
  <c r="AO56" i="72" s="1"/>
  <c r="R9" i="100"/>
  <c r="O58" i="100"/>
  <c r="P62" i="128"/>
  <c r="AN61" i="72" s="1"/>
  <c r="O44" i="100"/>
  <c r="N52" i="100"/>
  <c r="I22" i="2"/>
  <c r="G30" i="2"/>
  <c r="H30" i="2" s="1"/>
  <c r="G38" i="2"/>
  <c r="H38" i="2" s="1"/>
  <c r="I50" i="2"/>
  <c r="F9" i="5"/>
  <c r="F10" i="5" s="1"/>
  <c r="L18" i="31"/>
  <c r="M18" i="31" s="1"/>
  <c r="L33" i="31"/>
  <c r="L54" i="31"/>
  <c r="M54" i="31" s="1"/>
  <c r="L43" i="31"/>
  <c r="N43" i="31" s="1"/>
  <c r="P73" i="120"/>
  <c r="AJ72" i="72" s="1"/>
  <c r="M72" i="100"/>
  <c r="K50" i="100"/>
  <c r="P51" i="118"/>
  <c r="AH50" i="72" s="1"/>
  <c r="P22" i="119"/>
  <c r="Q22" i="119" s="1"/>
  <c r="S22" i="119" s="1"/>
  <c r="T22" i="119" s="1"/>
  <c r="M21" i="72" s="1"/>
  <c r="L21" i="100"/>
  <c r="J54" i="100"/>
  <c r="T68" i="100"/>
  <c r="Q66" i="76"/>
  <c r="AQ68" i="72" s="1"/>
  <c r="Q13" i="76"/>
  <c r="AQ15" i="72" s="1"/>
  <c r="T15" i="100"/>
  <c r="T61" i="100"/>
  <c r="Q59" i="76"/>
  <c r="AQ61" i="72" s="1"/>
  <c r="P9" i="113"/>
  <c r="Q9" i="113" s="1"/>
  <c r="S9" i="113" s="1"/>
  <c r="T9" i="113" s="1"/>
  <c r="F8" i="72" s="1"/>
  <c r="F8" i="100"/>
  <c r="F16" i="100"/>
  <c r="P17" i="113"/>
  <c r="AC16" i="72" s="1"/>
  <c r="Q25" i="113"/>
  <c r="S25" i="113" s="1"/>
  <c r="T25" i="113" s="1"/>
  <c r="F24" i="72" s="1"/>
  <c r="AC24" i="72"/>
  <c r="G15" i="100"/>
  <c r="P16" i="114"/>
  <c r="AD15" i="72" s="1"/>
  <c r="G31" i="100"/>
  <c r="P32" i="114"/>
  <c r="Q32" i="114" s="1"/>
  <c r="S32" i="114" s="1"/>
  <c r="T32" i="114" s="1"/>
  <c r="G31" i="72" s="1"/>
  <c r="P40" i="114"/>
  <c r="AD39" i="72" s="1"/>
  <c r="P52" i="114"/>
  <c r="G51" i="100"/>
  <c r="G67" i="100"/>
  <c r="P7" i="116"/>
  <c r="AF6" i="72" s="1"/>
  <c r="I6" i="100"/>
  <c r="P23" i="116"/>
  <c r="AF22" i="72" s="1"/>
  <c r="I22" i="100"/>
  <c r="I30" i="100"/>
  <c r="P31" i="116"/>
  <c r="AF30" i="72" s="1"/>
  <c r="I58" i="100"/>
  <c r="P59" i="116"/>
  <c r="AF58" i="72" s="1"/>
  <c r="I62" i="100"/>
  <c r="P63" i="116"/>
  <c r="AF62" i="72" s="1"/>
  <c r="J13" i="100"/>
  <c r="J21" i="100"/>
  <c r="R22" i="117"/>
  <c r="AG21" i="72" s="1"/>
  <c r="R42" i="117"/>
  <c r="AG41" i="72" s="1"/>
  <c r="J41" i="100"/>
  <c r="R58" i="117"/>
  <c r="AG57" i="72" s="1"/>
  <c r="R66" i="117"/>
  <c r="J65" i="100"/>
  <c r="J69" i="100"/>
  <c r="R70" i="117"/>
  <c r="AG69" i="72" s="1"/>
  <c r="H8" i="100"/>
  <c r="P9" i="115"/>
  <c r="AE8" i="72" s="1"/>
  <c r="H12" i="100"/>
  <c r="P13" i="115"/>
  <c r="AE12" i="72" s="1"/>
  <c r="P21" i="115"/>
  <c r="AE20" i="72" s="1"/>
  <c r="H20" i="100"/>
  <c r="H28" i="100"/>
  <c r="P29" i="115"/>
  <c r="AE28" i="72" s="1"/>
  <c r="P37" i="115"/>
  <c r="AE36" i="72" s="1"/>
  <c r="H36" i="100"/>
  <c r="P45" i="115"/>
  <c r="AE44" i="72" s="1"/>
  <c r="P61" i="115"/>
  <c r="Q61" i="115" s="1"/>
  <c r="S61" i="115" s="1"/>
  <c r="T61" i="115" s="1"/>
  <c r="H60" i="72" s="1"/>
  <c r="H60" i="100"/>
  <c r="P73" i="115"/>
  <c r="H72" i="100"/>
  <c r="P12" i="118"/>
  <c r="AH11" i="72" s="1"/>
  <c r="K11" i="100"/>
  <c r="K19" i="100"/>
  <c r="P20" i="118"/>
  <c r="AH19" i="72" s="1"/>
  <c r="K27" i="100"/>
  <c r="P28" i="118"/>
  <c r="Q28" i="118" s="1"/>
  <c r="S28" i="118" s="1"/>
  <c r="T28" i="118" s="1"/>
  <c r="L27" i="72" s="1"/>
  <c r="K55" i="100"/>
  <c r="P56" i="118"/>
  <c r="AH55" i="72" s="1"/>
  <c r="K59" i="100"/>
  <c r="P60" i="118"/>
  <c r="AH59" i="72" s="1"/>
  <c r="P72" i="118"/>
  <c r="AH71" i="72" s="1"/>
  <c r="K71" i="100"/>
  <c r="P11" i="119"/>
  <c r="AI10" i="72" s="1"/>
  <c r="L10" i="100"/>
  <c r="L18" i="100"/>
  <c r="P19" i="119"/>
  <c r="AI18" i="72" s="1"/>
  <c r="T69" i="100"/>
  <c r="Q67" i="76"/>
  <c r="AQ69" i="72" s="1"/>
  <c r="U17" i="100"/>
  <c r="Q15" i="80"/>
  <c r="AR17" i="72" s="1"/>
  <c r="U25" i="100"/>
  <c r="Q23" i="80"/>
  <c r="AR25" i="72" s="1"/>
  <c r="U33" i="100"/>
  <c r="Q31" i="80"/>
  <c r="AR33" i="72" s="1"/>
  <c r="Q63" i="80"/>
  <c r="AR65" i="72" s="1"/>
  <c r="T66" i="100"/>
  <c r="Q64" i="76"/>
  <c r="Q10" i="76"/>
  <c r="AQ12" i="72" s="1"/>
  <c r="T12" i="100"/>
  <c r="U63" i="100"/>
  <c r="Q61" i="80"/>
  <c r="AR63" i="72" s="1"/>
  <c r="U46" i="100"/>
  <c r="Q44" i="80"/>
  <c r="R44" i="80" s="1"/>
  <c r="T44" i="80" s="1"/>
  <c r="U44" i="80" s="1"/>
  <c r="V46" i="72" s="1"/>
  <c r="J20" i="100"/>
  <c r="R21" i="117"/>
  <c r="S21" i="117" s="1"/>
  <c r="U21" i="117" s="1"/>
  <c r="V21" i="117" s="1"/>
  <c r="K20" i="72" s="1"/>
  <c r="P28" i="119"/>
  <c r="L27" i="100"/>
  <c r="P43" i="114"/>
  <c r="Q43" i="114" s="1"/>
  <c r="S43" i="114" s="1"/>
  <c r="T43" i="114" s="1"/>
  <c r="G42" i="72" s="1"/>
  <c r="G42" i="100"/>
  <c r="P42" i="119"/>
  <c r="AI41" i="72" s="1"/>
  <c r="L41" i="100"/>
  <c r="P42" i="120"/>
  <c r="AJ41" i="72" s="1"/>
  <c r="M41" i="100"/>
  <c r="I73" i="100"/>
  <c r="P74" i="116"/>
  <c r="I60" i="100"/>
  <c r="P61" i="116"/>
  <c r="AF60" i="72" s="1"/>
  <c r="T14" i="100"/>
  <c r="Q12" i="76"/>
  <c r="AQ14" i="72" s="1"/>
  <c r="U71" i="100"/>
  <c r="Q69" i="80"/>
  <c r="AR71" i="72" s="1"/>
  <c r="U30" i="100"/>
  <c r="Q28" i="80"/>
  <c r="AR30" i="72" s="1"/>
  <c r="T17" i="100"/>
  <c r="Q15" i="76"/>
  <c r="AQ17" i="72" s="1"/>
  <c r="AC9" i="72"/>
  <c r="Q10" i="113"/>
  <c r="S10" i="113" s="1"/>
  <c r="T10" i="113" s="1"/>
  <c r="F9" i="72" s="1"/>
  <c r="P51" i="119"/>
  <c r="AI50" i="72" s="1"/>
  <c r="AH41" i="72"/>
  <c r="Q42" i="118"/>
  <c r="S42" i="118" s="1"/>
  <c r="T42" i="118" s="1"/>
  <c r="L41" i="72" s="1"/>
  <c r="P38" i="116"/>
  <c r="AF37" i="72" s="1"/>
  <c r="I37" i="100"/>
  <c r="P22" i="120"/>
  <c r="AJ21" i="72" s="1"/>
  <c r="M21" i="100"/>
  <c r="I54" i="100"/>
  <c r="P55" i="116"/>
  <c r="AF54" i="72" s="1"/>
  <c r="U29" i="100"/>
  <c r="Q27" i="80"/>
  <c r="AR29" i="72" s="1"/>
  <c r="T43" i="100"/>
  <c r="Q41" i="76"/>
  <c r="AQ43" i="72" s="1"/>
  <c r="P29" i="113"/>
  <c r="AC28" i="72" s="1"/>
  <c r="P33" i="113"/>
  <c r="AC32" i="72" s="1"/>
  <c r="F32" i="100"/>
  <c r="F40" i="100"/>
  <c r="P41" i="113"/>
  <c r="AC40" i="72" s="1"/>
  <c r="F48" i="100"/>
  <c r="P49" i="113"/>
  <c r="F52" i="100"/>
  <c r="Q53" i="113"/>
  <c r="S53" i="113" s="1"/>
  <c r="T53" i="113" s="1"/>
  <c r="F52" i="72" s="1"/>
  <c r="P57" i="113"/>
  <c r="Q57" i="113" s="1"/>
  <c r="S57" i="113" s="1"/>
  <c r="T57" i="113" s="1"/>
  <c r="F56" i="72" s="1"/>
  <c r="F56" i="100"/>
  <c r="F60" i="100"/>
  <c r="P61" i="113"/>
  <c r="AC60" i="72" s="1"/>
  <c r="P8" i="114"/>
  <c r="AD7" i="72" s="1"/>
  <c r="G19" i="100"/>
  <c r="P20" i="114"/>
  <c r="AD19" i="72" s="1"/>
  <c r="P28" i="114"/>
  <c r="AD27" i="72" s="1"/>
  <c r="G27" i="100"/>
  <c r="G35" i="100"/>
  <c r="P36" i="114"/>
  <c r="G43" i="100"/>
  <c r="P44" i="114"/>
  <c r="AD43" i="72" s="1"/>
  <c r="P48" i="114"/>
  <c r="Q48" i="114" s="1"/>
  <c r="S48" i="114" s="1"/>
  <c r="T48" i="114" s="1"/>
  <c r="G47" i="72" s="1"/>
  <c r="G47" i="100"/>
  <c r="G55" i="100"/>
  <c r="P56" i="114"/>
  <c r="AD55" i="72" s="1"/>
  <c r="G59" i="100"/>
  <c r="P60" i="114"/>
  <c r="AD59" i="72" s="1"/>
  <c r="P72" i="114"/>
  <c r="AD71" i="72" s="1"/>
  <c r="G71" i="100"/>
  <c r="P11" i="116"/>
  <c r="AF10" i="72" s="1"/>
  <c r="I10" i="100"/>
  <c r="I26" i="100"/>
  <c r="P27" i="116"/>
  <c r="AF26" i="72" s="1"/>
  <c r="I34" i="100"/>
  <c r="P35" i="116"/>
  <c r="AF34" i="72" s="1"/>
  <c r="P43" i="116"/>
  <c r="I42" i="100"/>
  <c r="I70" i="100"/>
  <c r="P71" i="116"/>
  <c r="AF70" i="72" s="1"/>
  <c r="J25" i="100"/>
  <c r="R26" i="117"/>
  <c r="AG25" i="72" s="1"/>
  <c r="J29" i="100"/>
  <c r="R30" i="117"/>
  <c r="AG29" i="72" s="1"/>
  <c r="J37" i="100"/>
  <c r="R38" i="117"/>
  <c r="J53" i="100"/>
  <c r="R54" i="117"/>
  <c r="J61" i="100"/>
  <c r="R62" i="117"/>
  <c r="AG61" i="72" s="1"/>
  <c r="H24" i="100"/>
  <c r="P25" i="115"/>
  <c r="AE24" i="72" s="1"/>
  <c r="H32" i="100"/>
  <c r="P33" i="115"/>
  <c r="Q33" i="115" s="1"/>
  <c r="S33" i="115" s="1"/>
  <c r="T33" i="115" s="1"/>
  <c r="H32" i="72" s="1"/>
  <c r="H40" i="100"/>
  <c r="P41" i="115"/>
  <c r="AE40" i="72" s="1"/>
  <c r="P57" i="115"/>
  <c r="AE56" i="72" s="1"/>
  <c r="H56" i="100"/>
  <c r="P8" i="118"/>
  <c r="Q8" i="118" s="1"/>
  <c r="S8" i="118" s="1"/>
  <c r="T8" i="118" s="1"/>
  <c r="L7" i="72" s="1"/>
  <c r="K7" i="100"/>
  <c r="Q24" i="118"/>
  <c r="S24" i="118" s="1"/>
  <c r="T24" i="118" s="1"/>
  <c r="L23" i="72" s="1"/>
  <c r="AH23" i="72"/>
  <c r="P36" i="118"/>
  <c r="AH35" i="72" s="1"/>
  <c r="K35" i="100"/>
  <c r="K67" i="100"/>
  <c r="P68" i="118"/>
  <c r="AH67" i="72" s="1"/>
  <c r="P7" i="119"/>
  <c r="AI6" i="72" s="1"/>
  <c r="L6" i="100"/>
  <c r="L22" i="100"/>
  <c r="Q23" i="119"/>
  <c r="S23" i="119" s="1"/>
  <c r="T23" i="119" s="1"/>
  <c r="M22" i="72" s="1"/>
  <c r="L46" i="100"/>
  <c r="P47" i="119"/>
  <c r="AI46" i="72" s="1"/>
  <c r="P30" i="120"/>
  <c r="AJ29" i="72" s="1"/>
  <c r="O71" i="100"/>
  <c r="P72" i="126"/>
  <c r="Q72" i="126" s="1"/>
  <c r="S72" i="126" s="1"/>
  <c r="T72" i="126" s="1"/>
  <c r="P71" i="72" s="1"/>
  <c r="T13" i="100"/>
  <c r="Q11" i="76"/>
  <c r="Q35" i="76"/>
  <c r="R35" i="76" s="1"/>
  <c r="T35" i="76" s="1"/>
  <c r="U35" i="76" s="1"/>
  <c r="U37" i="72" s="1"/>
  <c r="T37" i="100"/>
  <c r="U21" i="100"/>
  <c r="Q19" i="80"/>
  <c r="AR21" i="72" s="1"/>
  <c r="U53" i="100"/>
  <c r="R51" i="80"/>
  <c r="T51" i="80" s="1"/>
  <c r="U51" i="80" s="1"/>
  <c r="V53" i="72" s="1"/>
  <c r="U57" i="100"/>
  <c r="R55" i="80"/>
  <c r="T55" i="80" s="1"/>
  <c r="U55" i="80" s="1"/>
  <c r="V57" i="72" s="1"/>
  <c r="U61" i="100"/>
  <c r="Q59" i="80"/>
  <c r="AR61" i="72" s="1"/>
  <c r="Q5" i="76"/>
  <c r="AQ7" i="72" s="1"/>
  <c r="Q39" i="80"/>
  <c r="AR41" i="72" s="1"/>
  <c r="T42" i="100"/>
  <c r="Q40" i="76"/>
  <c r="T45" i="100"/>
  <c r="Q43" i="76"/>
  <c r="U69" i="100"/>
  <c r="Q67" i="80"/>
  <c r="U19" i="100"/>
  <c r="Q17" i="80"/>
  <c r="AR19" i="72" s="1"/>
  <c r="T25" i="100"/>
  <c r="T53" i="100"/>
  <c r="Q30" i="46"/>
  <c r="D14" i="100" s="1"/>
  <c r="G7" i="100"/>
  <c r="R14" i="117"/>
  <c r="AG13" i="72" s="1"/>
  <c r="AF61" i="72"/>
  <c r="Q62" i="116"/>
  <c r="S62" i="116" s="1"/>
  <c r="T62" i="116" s="1"/>
  <c r="I61" i="72" s="1"/>
  <c r="P68" i="114"/>
  <c r="AD67" i="72" s="1"/>
  <c r="R55" i="117"/>
  <c r="AG54" i="72" s="1"/>
  <c r="AD22" i="72"/>
  <c r="Q23" i="114"/>
  <c r="S23" i="114" s="1"/>
  <c r="T23" i="114" s="1"/>
  <c r="G22" i="72" s="1"/>
  <c r="G39" i="100"/>
  <c r="R34" i="117"/>
  <c r="F24" i="100"/>
  <c r="F36" i="100"/>
  <c r="K23" i="100"/>
  <c r="Q31" i="119"/>
  <c r="S31" i="119" s="1"/>
  <c r="T31" i="119" s="1"/>
  <c r="M30" i="72" s="1"/>
  <c r="P39" i="119"/>
  <c r="AI38" i="72" s="1"/>
  <c r="L38" i="100"/>
  <c r="M33" i="100"/>
  <c r="M49" i="100"/>
  <c r="Q50" i="120"/>
  <c r="S50" i="120" s="1"/>
  <c r="T50" i="120" s="1"/>
  <c r="N49" i="72" s="1"/>
  <c r="N7" i="100"/>
  <c r="P8" i="125"/>
  <c r="Q8" i="125" s="1"/>
  <c r="S8" i="125" s="1"/>
  <c r="T8" i="125" s="1"/>
  <c r="O7" i="72" s="1"/>
  <c r="N15" i="100"/>
  <c r="P16" i="125"/>
  <c r="AK15" i="72" s="1"/>
  <c r="N23" i="100"/>
  <c r="P24" i="125"/>
  <c r="AK23" i="72" s="1"/>
  <c r="N31" i="100"/>
  <c r="P32" i="125"/>
  <c r="AK31" i="72" s="1"/>
  <c r="N39" i="100"/>
  <c r="P40" i="125"/>
  <c r="AK39" i="72" s="1"/>
  <c r="N51" i="100"/>
  <c r="P52" i="125"/>
  <c r="AK51" i="72" s="1"/>
  <c r="P60" i="125"/>
  <c r="AK59" i="72" s="1"/>
  <c r="N59" i="100"/>
  <c r="S7" i="100"/>
  <c r="P8" i="131"/>
  <c r="Q8" i="131" s="1"/>
  <c r="S8" i="131" s="1"/>
  <c r="T8" i="131" s="1"/>
  <c r="T7" i="72" s="1"/>
  <c r="S11" i="100"/>
  <c r="P12" i="131"/>
  <c r="AP11" i="72" s="1"/>
  <c r="S19" i="100"/>
  <c r="P20" i="131"/>
  <c r="AP19" i="72" s="1"/>
  <c r="P36" i="131"/>
  <c r="AP35" i="72" s="1"/>
  <c r="S35" i="100"/>
  <c r="S43" i="100"/>
  <c r="P44" i="131"/>
  <c r="Q44" i="131" s="1"/>
  <c r="S44" i="131" s="1"/>
  <c r="T44" i="131" s="1"/>
  <c r="T43" i="72" s="1"/>
  <c r="P52" i="131"/>
  <c r="AP51" i="72" s="1"/>
  <c r="S51" i="100"/>
  <c r="S63" i="100"/>
  <c r="P64" i="131"/>
  <c r="AP63" i="72" s="1"/>
  <c r="P68" i="131"/>
  <c r="AP67" i="72" s="1"/>
  <c r="S67" i="100"/>
  <c r="R7" i="100"/>
  <c r="P8" i="129"/>
  <c r="AO7" i="72" s="1"/>
  <c r="R15" i="100"/>
  <c r="P16" i="129"/>
  <c r="AO15" i="72" s="1"/>
  <c r="R23" i="100"/>
  <c r="P24" i="129"/>
  <c r="Q24" i="129" s="1"/>
  <c r="S24" i="129" s="1"/>
  <c r="T24" i="129" s="1"/>
  <c r="S23" i="72" s="1"/>
  <c r="P28" i="129"/>
  <c r="AO27" i="72" s="1"/>
  <c r="P36" i="129"/>
  <c r="AO35" i="72" s="1"/>
  <c r="R35" i="100"/>
  <c r="R51" i="100"/>
  <c r="P52" i="129"/>
  <c r="AO51" i="72" s="1"/>
  <c r="R59" i="100"/>
  <c r="P60" i="129"/>
  <c r="AO59" i="72" s="1"/>
  <c r="P68" i="129"/>
  <c r="Q68" i="129" s="1"/>
  <c r="S68" i="129" s="1"/>
  <c r="T68" i="129" s="1"/>
  <c r="S67" i="72" s="1"/>
  <c r="R67" i="100"/>
  <c r="Q7" i="100"/>
  <c r="P8" i="128"/>
  <c r="AN7" i="72" s="1"/>
  <c r="P16" i="128"/>
  <c r="AN15" i="72" s="1"/>
  <c r="Q15" i="100"/>
  <c r="Q23" i="100"/>
  <c r="P24" i="128"/>
  <c r="AN23" i="72" s="1"/>
  <c r="Q35" i="100"/>
  <c r="P36" i="128"/>
  <c r="AN35" i="72" s="1"/>
  <c r="P44" i="128"/>
  <c r="AN43" i="72" s="1"/>
  <c r="Q43" i="100"/>
  <c r="P52" i="128"/>
  <c r="AN51" i="72" s="1"/>
  <c r="Q51" i="100"/>
  <c r="Q63" i="100"/>
  <c r="P64" i="128"/>
  <c r="AN63" i="72" s="1"/>
  <c r="P72" i="128"/>
  <c r="Q72" i="128" s="1"/>
  <c r="S72" i="128" s="1"/>
  <c r="T72" i="128" s="1"/>
  <c r="R71" i="72" s="1"/>
  <c r="Q71" i="100"/>
  <c r="P11" i="100"/>
  <c r="P12" i="127"/>
  <c r="AM11" i="72" s="1"/>
  <c r="P16" i="127"/>
  <c r="AM15" i="72" s="1"/>
  <c r="P15" i="100"/>
  <c r="P19" i="100"/>
  <c r="P20" i="127"/>
  <c r="AM19" i="72" s="1"/>
  <c r="P27" i="100"/>
  <c r="P28" i="127"/>
  <c r="AM27" i="72" s="1"/>
  <c r="P35" i="100"/>
  <c r="P36" i="127"/>
  <c r="AM35" i="72" s="1"/>
  <c r="P43" i="100"/>
  <c r="P44" i="127"/>
  <c r="AM43" i="72" s="1"/>
  <c r="P52" i="127"/>
  <c r="AM51" i="72" s="1"/>
  <c r="P51" i="100"/>
  <c r="P59" i="100"/>
  <c r="P60" i="127"/>
  <c r="AM59" i="72" s="1"/>
  <c r="P67" i="100"/>
  <c r="P68" i="127"/>
  <c r="AM67" i="72" s="1"/>
  <c r="O7" i="100"/>
  <c r="P8" i="126"/>
  <c r="AL7" i="72" s="1"/>
  <c r="O76" i="126"/>
  <c r="O15" i="100"/>
  <c r="P16" i="126"/>
  <c r="AL15" i="72" s="1"/>
  <c r="O23" i="100"/>
  <c r="P24" i="126"/>
  <c r="AL23" i="72" s="1"/>
  <c r="O31" i="100"/>
  <c r="P32" i="126"/>
  <c r="AL31" i="72" s="1"/>
  <c r="P44" i="126"/>
  <c r="AL43" i="72" s="1"/>
  <c r="O43" i="100"/>
  <c r="P52" i="126"/>
  <c r="AL51" i="72" s="1"/>
  <c r="O59" i="100"/>
  <c r="P60" i="126"/>
  <c r="Q60" i="126" s="1"/>
  <c r="S60" i="126" s="1"/>
  <c r="T60" i="126" s="1"/>
  <c r="P59" i="72" s="1"/>
  <c r="P64" i="126"/>
  <c r="AL63" i="72" s="1"/>
  <c r="O63" i="100"/>
  <c r="Q63" i="120"/>
  <c r="S63" i="120" s="1"/>
  <c r="T63" i="120" s="1"/>
  <c r="N62" i="72" s="1"/>
  <c r="AJ62" i="72"/>
  <c r="P46" i="120"/>
  <c r="AJ45" i="72" s="1"/>
  <c r="L7" i="100"/>
  <c r="P8" i="119"/>
  <c r="Q8" i="119" s="1"/>
  <c r="S8" i="119" s="1"/>
  <c r="T8" i="119" s="1"/>
  <c r="P38" i="113"/>
  <c r="AC37" i="72" s="1"/>
  <c r="F37" i="100"/>
  <c r="P49" i="114"/>
  <c r="AD48" i="72" s="1"/>
  <c r="Q32" i="126"/>
  <c r="S32" i="126" s="1"/>
  <c r="T32" i="126" s="1"/>
  <c r="P31" i="72" s="1"/>
  <c r="Q17" i="76"/>
  <c r="AQ19" i="72" s="1"/>
  <c r="Q5" i="80"/>
  <c r="Q65" i="76"/>
  <c r="AQ67" i="72" s="1"/>
  <c r="T70" i="100"/>
  <c r="U43" i="100"/>
  <c r="U26" i="100"/>
  <c r="U16" i="100"/>
  <c r="Q14" i="120"/>
  <c r="S14" i="120" s="1"/>
  <c r="T14" i="120" s="1"/>
  <c r="N13" i="72" s="1"/>
  <c r="P31" i="113"/>
  <c r="AC30" i="72" s="1"/>
  <c r="P34" i="120"/>
  <c r="AJ33" i="72" s="1"/>
  <c r="AD34" i="72"/>
  <c r="Q74" i="114"/>
  <c r="S74" i="114" s="1"/>
  <c r="T74" i="114" s="1"/>
  <c r="G73" i="72" s="1"/>
  <c r="AD73" i="72"/>
  <c r="R12" i="117"/>
  <c r="AG11" i="72" s="1"/>
  <c r="K13" i="100"/>
  <c r="Q14" i="118"/>
  <c r="S14" i="118" s="1"/>
  <c r="T14" i="118" s="1"/>
  <c r="L13" i="72" s="1"/>
  <c r="M53" i="100"/>
  <c r="P67" i="119"/>
  <c r="AI66" i="72" s="1"/>
  <c r="G10" i="100"/>
  <c r="P11" i="114"/>
  <c r="M32" i="100"/>
  <c r="P33" i="120"/>
  <c r="AJ32" i="72" s="1"/>
  <c r="L44" i="100"/>
  <c r="P45" i="119"/>
  <c r="F26" i="100"/>
  <c r="P27" i="113"/>
  <c r="Q27" i="113" s="1"/>
  <c r="S27" i="113" s="1"/>
  <c r="T27" i="113" s="1"/>
  <c r="F26" i="72" s="1"/>
  <c r="J39" i="100"/>
  <c r="S40" i="117"/>
  <c r="U40" i="117" s="1"/>
  <c r="V40" i="117" s="1"/>
  <c r="K39" i="72" s="1"/>
  <c r="H39" i="100"/>
  <c r="P40" i="115"/>
  <c r="AE39" i="72" s="1"/>
  <c r="L34" i="100"/>
  <c r="P35" i="119"/>
  <c r="AI34" i="72" s="1"/>
  <c r="P59" i="119"/>
  <c r="AI58" i="72" s="1"/>
  <c r="M37" i="100"/>
  <c r="P38" i="120"/>
  <c r="AJ37" i="72" s="1"/>
  <c r="M61" i="100"/>
  <c r="P62" i="120"/>
  <c r="AJ61" i="72" s="1"/>
  <c r="N11" i="100"/>
  <c r="P12" i="125"/>
  <c r="AK11" i="72" s="1"/>
  <c r="N19" i="100"/>
  <c r="P20" i="125"/>
  <c r="N27" i="100"/>
  <c r="P28" i="125"/>
  <c r="AK27" i="72" s="1"/>
  <c r="N43" i="100"/>
  <c r="P56" i="125"/>
  <c r="AK55" i="72" s="1"/>
  <c r="N55" i="100"/>
  <c r="N63" i="100"/>
  <c r="P64" i="125"/>
  <c r="AK63" i="72" s="1"/>
  <c r="N71" i="100"/>
  <c r="P72" i="125"/>
  <c r="AK71" i="72" s="1"/>
  <c r="S15" i="100"/>
  <c r="P16" i="131"/>
  <c r="AP15" i="72" s="1"/>
  <c r="S23" i="100"/>
  <c r="P24" i="131"/>
  <c r="AP23" i="72" s="1"/>
  <c r="S31" i="100"/>
  <c r="P32" i="131"/>
  <c r="AP31" i="72" s="1"/>
  <c r="S39" i="100"/>
  <c r="P40" i="131"/>
  <c r="AP39" i="72" s="1"/>
  <c r="P48" i="131"/>
  <c r="Q48" i="131" s="1"/>
  <c r="S48" i="131" s="1"/>
  <c r="T48" i="131" s="1"/>
  <c r="T47" i="72" s="1"/>
  <c r="S47" i="100"/>
  <c r="S55" i="100"/>
  <c r="P56" i="131"/>
  <c r="AP55" i="72" s="1"/>
  <c r="S59" i="100"/>
  <c r="P60" i="131"/>
  <c r="AP59" i="72" s="1"/>
  <c r="S71" i="100"/>
  <c r="P72" i="131"/>
  <c r="AP71" i="72" s="1"/>
  <c r="R11" i="100"/>
  <c r="P12" i="129"/>
  <c r="AO11" i="72" s="1"/>
  <c r="P32" i="129"/>
  <c r="AO31" i="72" s="1"/>
  <c r="R31" i="100"/>
  <c r="R39" i="100"/>
  <c r="P40" i="129"/>
  <c r="AO39" i="72" s="1"/>
  <c r="P48" i="129"/>
  <c r="AO47" i="72" s="1"/>
  <c r="R47" i="100"/>
  <c r="P56" i="129"/>
  <c r="AO55" i="72" s="1"/>
  <c r="R55" i="100"/>
  <c r="R63" i="100"/>
  <c r="Q64" i="129"/>
  <c r="S64" i="129" s="1"/>
  <c r="T64" i="129" s="1"/>
  <c r="S63" i="72" s="1"/>
  <c r="R71" i="100"/>
  <c r="P72" i="129"/>
  <c r="AO71" i="72" s="1"/>
  <c r="P20" i="128"/>
  <c r="AN19" i="72" s="1"/>
  <c r="Q19" i="100"/>
  <c r="Q27" i="100"/>
  <c r="P28" i="128"/>
  <c r="Q28" i="128" s="1"/>
  <c r="S28" i="128" s="1"/>
  <c r="T28" i="128" s="1"/>
  <c r="R27" i="72" s="1"/>
  <c r="P40" i="128"/>
  <c r="AN39" i="72" s="1"/>
  <c r="Q39" i="100"/>
  <c r="P48" i="128"/>
  <c r="AN47" i="72" s="1"/>
  <c r="Q47" i="100"/>
  <c r="P56" i="128"/>
  <c r="AN55" i="72" s="1"/>
  <c r="Q55" i="100"/>
  <c r="Q59" i="100"/>
  <c r="P60" i="128"/>
  <c r="P68" i="128"/>
  <c r="Q68" i="128" s="1"/>
  <c r="S68" i="128" s="1"/>
  <c r="T68" i="128" s="1"/>
  <c r="R67" i="72" s="1"/>
  <c r="Q67" i="100"/>
  <c r="P7" i="100"/>
  <c r="O76" i="127"/>
  <c r="P8" i="127"/>
  <c r="AM7" i="72" s="1"/>
  <c r="P31" i="100"/>
  <c r="P32" i="127"/>
  <c r="Q32" i="127" s="1"/>
  <c r="S32" i="127" s="1"/>
  <c r="T32" i="127" s="1"/>
  <c r="Q31" i="72" s="1"/>
  <c r="P39" i="100"/>
  <c r="P40" i="127"/>
  <c r="AM39" i="72" s="1"/>
  <c r="P48" i="127"/>
  <c r="AM47" i="72" s="1"/>
  <c r="P47" i="100"/>
  <c r="P55" i="100"/>
  <c r="P56" i="127"/>
  <c r="AM55" i="72" s="1"/>
  <c r="P63" i="100"/>
  <c r="P64" i="127"/>
  <c r="AM63" i="72" s="1"/>
  <c r="P72" i="127"/>
  <c r="AM71" i="72" s="1"/>
  <c r="P71" i="100"/>
  <c r="O11" i="100"/>
  <c r="P12" i="126"/>
  <c r="Q12" i="126" s="1"/>
  <c r="S12" i="126" s="1"/>
  <c r="T12" i="126" s="1"/>
  <c r="P11" i="72" s="1"/>
  <c r="O19" i="100"/>
  <c r="P20" i="126"/>
  <c r="AL19" i="72" s="1"/>
  <c r="P28" i="126"/>
  <c r="O27" i="100"/>
  <c r="O35" i="100"/>
  <c r="P36" i="126"/>
  <c r="AL35" i="72" s="1"/>
  <c r="O39" i="100"/>
  <c r="P40" i="126"/>
  <c r="AL39" i="72" s="1"/>
  <c r="P48" i="126"/>
  <c r="AL47" i="72" s="1"/>
  <c r="O47" i="100"/>
  <c r="O67" i="100"/>
  <c r="P68" i="126"/>
  <c r="AL67" i="72" s="1"/>
  <c r="L30" i="100"/>
  <c r="Q14" i="116"/>
  <c r="S14" i="116" s="1"/>
  <c r="T14" i="116" s="1"/>
  <c r="I13" i="72" s="1"/>
  <c r="AF13" i="72"/>
  <c r="Q64" i="113"/>
  <c r="S64" i="113" s="1"/>
  <c r="T64" i="113" s="1"/>
  <c r="F63" i="72" s="1"/>
  <c r="AC63" i="72"/>
  <c r="P10" i="120"/>
  <c r="AJ9" i="72" s="1"/>
  <c r="P66" i="120"/>
  <c r="AJ65" i="72" s="1"/>
  <c r="Q21" i="116"/>
  <c r="S21" i="116" s="1"/>
  <c r="T21" i="116" s="1"/>
  <c r="I20" i="72" s="1"/>
  <c r="I20" i="100"/>
  <c r="K16" i="100"/>
  <c r="P17" i="118"/>
  <c r="Q22" i="100"/>
  <c r="P23" i="128"/>
  <c r="Q23" i="128" s="1"/>
  <c r="S23" i="128" s="1"/>
  <c r="T23" i="128" s="1"/>
  <c r="R22" i="72" s="1"/>
  <c r="Q72" i="76"/>
  <c r="AQ74" i="72" s="1"/>
  <c r="Q10" i="80"/>
  <c r="AR12" i="72" s="1"/>
  <c r="F30" i="100"/>
  <c r="F10" i="100"/>
  <c r="Q54" i="120"/>
  <c r="S54" i="120" s="1"/>
  <c r="T54" i="120" s="1"/>
  <c r="N53" i="72" s="1"/>
  <c r="G34" i="100"/>
  <c r="P18" i="120"/>
  <c r="AJ17" i="72" s="1"/>
  <c r="M25" i="100"/>
  <c r="L71" i="100"/>
  <c r="Q62" i="118"/>
  <c r="S62" i="118" s="1"/>
  <c r="T62" i="118" s="1"/>
  <c r="L61" i="72" s="1"/>
  <c r="L58" i="100"/>
  <c r="M73" i="100"/>
  <c r="Q45" i="118"/>
  <c r="S45" i="118" s="1"/>
  <c r="T45" i="118" s="1"/>
  <c r="L44" i="72" s="1"/>
  <c r="K44" i="100"/>
  <c r="F42" i="100"/>
  <c r="P43" i="113"/>
  <c r="P72" i="120"/>
  <c r="AJ71" i="72" s="1"/>
  <c r="M71" i="100"/>
  <c r="P53" i="119"/>
  <c r="AI52" i="72" s="1"/>
  <c r="L52" i="100"/>
  <c r="J64" i="100"/>
  <c r="S65" i="117"/>
  <c r="U65" i="117" s="1"/>
  <c r="V65" i="117" s="1"/>
  <c r="K64" i="72" s="1"/>
  <c r="AK40" i="72"/>
  <c r="P44" i="125"/>
  <c r="AK43" i="72" s="1"/>
  <c r="AO8" i="72"/>
  <c r="Q9" i="129"/>
  <c r="S9" i="129" s="1"/>
  <c r="T9" i="129" s="1"/>
  <c r="S8" i="72" s="1"/>
  <c r="Q32" i="116"/>
  <c r="S32" i="116" s="1"/>
  <c r="T32" i="116" s="1"/>
  <c r="I31" i="72" s="1"/>
  <c r="Q10" i="115"/>
  <c r="S10" i="115" s="1"/>
  <c r="T10" i="115" s="1"/>
  <c r="H9" i="72" s="1"/>
  <c r="H9" i="100"/>
  <c r="AN10" i="72"/>
  <c r="Q11" i="118"/>
  <c r="S11" i="118" s="1"/>
  <c r="T11" i="118" s="1"/>
  <c r="L10" i="72" s="1"/>
  <c r="P33" i="114"/>
  <c r="P68" i="115"/>
  <c r="Q68" i="115" s="1"/>
  <c r="S68" i="115" s="1"/>
  <c r="T68" i="115" s="1"/>
  <c r="H67" i="72" s="1"/>
  <c r="H67" i="100"/>
  <c r="Q20" i="119"/>
  <c r="S20" i="119" s="1"/>
  <c r="T20" i="119" s="1"/>
  <c r="M19" i="72" s="1"/>
  <c r="O30" i="100"/>
  <c r="P31" i="126"/>
  <c r="AL30" i="72" s="1"/>
  <c r="O13" i="100"/>
  <c r="P14" i="126"/>
  <c r="AL13" i="72" s="1"/>
  <c r="N65" i="100"/>
  <c r="P66" i="125"/>
  <c r="AK65" i="72" s="1"/>
  <c r="N72" i="100"/>
  <c r="P73" i="125"/>
  <c r="AK72" i="72" s="1"/>
  <c r="Q19" i="129"/>
  <c r="S19" i="129" s="1"/>
  <c r="T19" i="129" s="1"/>
  <c r="S18" i="72" s="1"/>
  <c r="AO18" i="72"/>
  <c r="AO49" i="72"/>
  <c r="Q50" i="129"/>
  <c r="S50" i="129" s="1"/>
  <c r="T50" i="129" s="1"/>
  <c r="S49" i="72" s="1"/>
  <c r="P45" i="131"/>
  <c r="S44" i="100"/>
  <c r="P35" i="115"/>
  <c r="AN42" i="72"/>
  <c r="Q43" i="128"/>
  <c r="S43" i="128" s="1"/>
  <c r="T43" i="128" s="1"/>
  <c r="R42" i="72" s="1"/>
  <c r="N45" i="100"/>
  <c r="P46" i="125"/>
  <c r="N50" i="100"/>
  <c r="P51" i="125"/>
  <c r="Q51" i="125" s="1"/>
  <c r="S51" i="125" s="1"/>
  <c r="T51" i="125" s="1"/>
  <c r="O50" i="72" s="1"/>
  <c r="P59" i="128"/>
  <c r="Q58" i="100"/>
  <c r="Q64" i="100"/>
  <c r="P65" i="128"/>
  <c r="Q65" i="128" s="1"/>
  <c r="S65" i="128" s="1"/>
  <c r="T65" i="128" s="1"/>
  <c r="R64" i="72" s="1"/>
  <c r="Q41" i="114"/>
  <c r="S41" i="114" s="1"/>
  <c r="T41" i="114" s="1"/>
  <c r="G40" i="72" s="1"/>
  <c r="Q55" i="115"/>
  <c r="S55" i="115" s="1"/>
  <c r="T55" i="115" s="1"/>
  <c r="H54" i="72" s="1"/>
  <c r="Q46" i="115"/>
  <c r="S46" i="115" s="1"/>
  <c r="T46" i="115" s="1"/>
  <c r="H45" i="72" s="1"/>
  <c r="AM42" i="72"/>
  <c r="Q43" i="127"/>
  <c r="S43" i="127" s="1"/>
  <c r="T43" i="127" s="1"/>
  <c r="Q42" i="72" s="1"/>
  <c r="Q32" i="100"/>
  <c r="P33" i="128"/>
  <c r="R13" i="100"/>
  <c r="P14" i="129"/>
  <c r="S40" i="100"/>
  <c r="P41" i="131"/>
  <c r="P17" i="127"/>
  <c r="P16" i="100"/>
  <c r="P41" i="128"/>
  <c r="AN40" i="72" s="1"/>
  <c r="Q40" i="100"/>
  <c r="P62" i="126"/>
  <c r="AL61" i="72" s="1"/>
  <c r="O61" i="100"/>
  <c r="P29" i="129"/>
  <c r="R28" i="100"/>
  <c r="P35" i="129"/>
  <c r="R34" i="100"/>
  <c r="S20" i="100"/>
  <c r="R41" i="80"/>
  <c r="T41" i="80" s="1"/>
  <c r="U41" i="80" s="1"/>
  <c r="V43" i="72" s="1"/>
  <c r="AR43" i="72"/>
  <c r="AR66" i="72"/>
  <c r="R64" i="80"/>
  <c r="T64" i="80" s="1"/>
  <c r="U64" i="80" s="1"/>
  <c r="V66" i="72" s="1"/>
  <c r="R37" i="80"/>
  <c r="T37" i="80" s="1"/>
  <c r="U37" i="80" s="1"/>
  <c r="V39" i="72" s="1"/>
  <c r="AR39" i="72"/>
  <c r="Q57" i="80"/>
  <c r="AR59" i="72" s="1"/>
  <c r="Q12" i="80"/>
  <c r="AR14" i="72" s="1"/>
  <c r="Q18" i="80"/>
  <c r="AR20" i="72" s="1"/>
  <c r="Q50" i="80"/>
  <c r="AR52" i="72" s="1"/>
  <c r="Q7" i="80"/>
  <c r="AR9" i="72" s="1"/>
  <c r="R53" i="80"/>
  <c r="T53" i="80" s="1"/>
  <c r="U53" i="80" s="1"/>
  <c r="V55" i="72" s="1"/>
  <c r="AR74" i="72"/>
  <c r="Q71" i="80"/>
  <c r="AR73" i="72" s="1"/>
  <c r="Q43" i="80"/>
  <c r="Q26" i="80"/>
  <c r="AR28" i="72" s="1"/>
  <c r="AR42" i="72"/>
  <c r="U55" i="100"/>
  <c r="U73" i="100"/>
  <c r="U52" i="100"/>
  <c r="U20" i="100"/>
  <c r="U11" i="100"/>
  <c r="U18" i="100"/>
  <c r="Q68" i="80"/>
  <c r="Q36" i="80"/>
  <c r="AQ44" i="72"/>
  <c r="R42" i="76"/>
  <c r="T42" i="76" s="1"/>
  <c r="U42" i="76" s="1"/>
  <c r="U44" i="72" s="1"/>
  <c r="AQ32" i="72"/>
  <c r="R30" i="76"/>
  <c r="T30" i="76" s="1"/>
  <c r="U30" i="76" s="1"/>
  <c r="U32" i="72" s="1"/>
  <c r="AQ63" i="72"/>
  <c r="R61" i="76"/>
  <c r="T61" i="76" s="1"/>
  <c r="U61" i="76" s="1"/>
  <c r="U63" i="72" s="1"/>
  <c r="Q6" i="76"/>
  <c r="AQ8" i="72" s="1"/>
  <c r="Q26" i="76"/>
  <c r="Q58" i="76"/>
  <c r="AQ60" i="72" s="1"/>
  <c r="Q55" i="76"/>
  <c r="AQ57" i="72" s="1"/>
  <c r="Q27" i="76"/>
  <c r="Q16" i="76"/>
  <c r="AQ18" i="72" s="1"/>
  <c r="Q56" i="76"/>
  <c r="AQ58" i="72" s="1"/>
  <c r="R23" i="76"/>
  <c r="T23" i="76" s="1"/>
  <c r="U23" i="76" s="1"/>
  <c r="U25" i="72" s="1"/>
  <c r="Q31" i="76"/>
  <c r="AQ33" i="72" s="1"/>
  <c r="Q71" i="76"/>
  <c r="AQ73" i="72" s="1"/>
  <c r="AQ53" i="72"/>
  <c r="Q18" i="76"/>
  <c r="Q39" i="76"/>
  <c r="AQ41" i="72" s="1"/>
  <c r="T47" i="100"/>
  <c r="AJ23" i="72"/>
  <c r="Q24" i="120"/>
  <c r="S24" i="120" s="1"/>
  <c r="T24" i="120" s="1"/>
  <c r="N23" i="72" s="1"/>
  <c r="AJ26" i="72"/>
  <c r="Q27" i="120"/>
  <c r="S27" i="120" s="1"/>
  <c r="T27" i="120" s="1"/>
  <c r="N26" i="72" s="1"/>
  <c r="M64" i="100"/>
  <c r="Q8" i="120"/>
  <c r="S8" i="120" s="1"/>
  <c r="T8" i="120" s="1"/>
  <c r="N7" i="72" s="1"/>
  <c r="Q75" i="120"/>
  <c r="S75" i="120" s="1"/>
  <c r="T75" i="120" s="1"/>
  <c r="N74" i="72" s="1"/>
  <c r="P16" i="120"/>
  <c r="P36" i="120"/>
  <c r="AJ35" i="72" s="1"/>
  <c r="P69" i="120"/>
  <c r="AJ68" i="72" s="1"/>
  <c r="P55" i="120"/>
  <c r="P23" i="120"/>
  <c r="AJ22" i="72" s="1"/>
  <c r="P70" i="120"/>
  <c r="P48" i="120"/>
  <c r="Q48" i="120" s="1"/>
  <c r="S48" i="120" s="1"/>
  <c r="T48" i="120" s="1"/>
  <c r="N47" i="72" s="1"/>
  <c r="M55" i="100"/>
  <c r="P37" i="120"/>
  <c r="AJ36" i="72" s="1"/>
  <c r="P17" i="120"/>
  <c r="Q74" i="120"/>
  <c r="S74" i="120" s="1"/>
  <c r="T74" i="120" s="1"/>
  <c r="N73" i="72" s="1"/>
  <c r="P59" i="120"/>
  <c r="AJ58" i="72" s="1"/>
  <c r="Q65" i="120"/>
  <c r="S65" i="120" s="1"/>
  <c r="T65" i="120" s="1"/>
  <c r="N64" i="72" s="1"/>
  <c r="AI17" i="72"/>
  <c r="Q18" i="119"/>
  <c r="S18" i="119" s="1"/>
  <c r="T18" i="119" s="1"/>
  <c r="M17" i="72" s="1"/>
  <c r="Q50" i="119"/>
  <c r="S50" i="119" s="1"/>
  <c r="T50" i="119" s="1"/>
  <c r="M49" i="72" s="1"/>
  <c r="L50" i="100"/>
  <c r="Q24" i="119"/>
  <c r="S24" i="119" s="1"/>
  <c r="T24" i="119" s="1"/>
  <c r="M23" i="72" s="1"/>
  <c r="Q16" i="119"/>
  <c r="S16" i="119" s="1"/>
  <c r="T16" i="119" s="1"/>
  <c r="M15" i="72" s="1"/>
  <c r="Q68" i="119"/>
  <c r="S68" i="119" s="1"/>
  <c r="T68" i="119" s="1"/>
  <c r="M67" i="72" s="1"/>
  <c r="P34" i="119"/>
  <c r="AI33" i="72" s="1"/>
  <c r="L67" i="100"/>
  <c r="P70" i="119"/>
  <c r="AI69" i="72" s="1"/>
  <c r="P30" i="119"/>
  <c r="P36" i="119"/>
  <c r="AI35" i="72" s="1"/>
  <c r="P13" i="119"/>
  <c r="AI12" i="72" s="1"/>
  <c r="L23" i="100"/>
  <c r="P57" i="119"/>
  <c r="P25" i="119"/>
  <c r="AI24" i="72" s="1"/>
  <c r="P75" i="119"/>
  <c r="AI74" i="72" s="1"/>
  <c r="P21" i="119"/>
  <c r="AI20" i="72" s="1"/>
  <c r="AH43" i="72"/>
  <c r="Q44" i="118"/>
  <c r="S44" i="118" s="1"/>
  <c r="T44" i="118" s="1"/>
  <c r="L43" i="72" s="1"/>
  <c r="K61" i="100"/>
  <c r="P39" i="118"/>
  <c r="AH38" i="72" s="1"/>
  <c r="K39" i="100"/>
  <c r="P26" i="118"/>
  <c r="AH25" i="72" s="1"/>
  <c r="K12" i="100"/>
  <c r="Q19" i="118"/>
  <c r="S19" i="118" s="1"/>
  <c r="T19" i="118" s="1"/>
  <c r="L18" i="72" s="1"/>
  <c r="K18" i="100"/>
  <c r="Q54" i="118"/>
  <c r="S54" i="118" s="1"/>
  <c r="T54" i="118" s="1"/>
  <c r="L53" i="72" s="1"/>
  <c r="P29" i="118"/>
  <c r="AH28" i="72" s="1"/>
  <c r="P64" i="118"/>
  <c r="Q64" i="118" s="1"/>
  <c r="S64" i="118" s="1"/>
  <c r="T64" i="118" s="1"/>
  <c r="L63" i="72" s="1"/>
  <c r="P25" i="118"/>
  <c r="P65" i="118"/>
  <c r="Q65" i="118" s="1"/>
  <c r="S65" i="118" s="1"/>
  <c r="T65" i="118" s="1"/>
  <c r="L64" i="72" s="1"/>
  <c r="P48" i="118"/>
  <c r="K43" i="100"/>
  <c r="K25" i="100"/>
  <c r="P46" i="118"/>
  <c r="AH45" i="72" s="1"/>
  <c r="K32" i="100"/>
  <c r="Q58" i="118"/>
  <c r="S58" i="118" s="1"/>
  <c r="T58" i="118" s="1"/>
  <c r="L57" i="72" s="1"/>
  <c r="Q40" i="118"/>
  <c r="S40" i="118" s="1"/>
  <c r="T40" i="118" s="1"/>
  <c r="L39" i="72" s="1"/>
  <c r="K6" i="100"/>
  <c r="AG62" i="72"/>
  <c r="S63" i="117"/>
  <c r="U63" i="117" s="1"/>
  <c r="V63" i="117" s="1"/>
  <c r="K62" i="72" s="1"/>
  <c r="S72" i="117"/>
  <c r="U72" i="117" s="1"/>
  <c r="V72" i="117" s="1"/>
  <c r="K71" i="72" s="1"/>
  <c r="R17" i="117"/>
  <c r="AG16" i="72" s="1"/>
  <c r="S15" i="117"/>
  <c r="U15" i="117" s="1"/>
  <c r="V15" i="117" s="1"/>
  <c r="K14" i="72" s="1"/>
  <c r="S67" i="117"/>
  <c r="U67" i="117" s="1"/>
  <c r="V67" i="117" s="1"/>
  <c r="K66" i="72" s="1"/>
  <c r="R11" i="117"/>
  <c r="J14" i="100"/>
  <c r="R75" i="117"/>
  <c r="J16" i="100"/>
  <c r="J73" i="100"/>
  <c r="J71" i="100"/>
  <c r="R24" i="117"/>
  <c r="S74" i="117"/>
  <c r="U74" i="117" s="1"/>
  <c r="V74" i="117" s="1"/>
  <c r="K73" i="72" s="1"/>
  <c r="S60" i="117"/>
  <c r="U60" i="117" s="1"/>
  <c r="V60" i="117" s="1"/>
  <c r="K59" i="72" s="1"/>
  <c r="J66" i="100"/>
  <c r="R16" i="117"/>
  <c r="AG15" i="72" s="1"/>
  <c r="S7" i="117"/>
  <c r="U7" i="117" s="1"/>
  <c r="J6" i="100"/>
  <c r="AF38" i="72"/>
  <c r="Q39" i="116"/>
  <c r="S39" i="116" s="1"/>
  <c r="T39" i="116" s="1"/>
  <c r="I38" i="72" s="1"/>
  <c r="AF51" i="72"/>
  <c r="Q52" i="116"/>
  <c r="S52" i="116" s="1"/>
  <c r="T52" i="116" s="1"/>
  <c r="I51" i="72" s="1"/>
  <c r="AF40" i="72"/>
  <c r="Q41" i="116"/>
  <c r="S41" i="116" s="1"/>
  <c r="T41" i="116" s="1"/>
  <c r="I40" i="72" s="1"/>
  <c r="AF64" i="72"/>
  <c r="Q65" i="116"/>
  <c r="S65" i="116" s="1"/>
  <c r="T65" i="116" s="1"/>
  <c r="I64" i="72" s="1"/>
  <c r="AF14" i="72"/>
  <c r="Q15" i="116"/>
  <c r="S15" i="116" s="1"/>
  <c r="T15" i="116" s="1"/>
  <c r="I14" i="72" s="1"/>
  <c r="Q26" i="116"/>
  <c r="S26" i="116" s="1"/>
  <c r="T26" i="116" s="1"/>
  <c r="I25" i="72" s="1"/>
  <c r="Q56" i="116"/>
  <c r="S56" i="116" s="1"/>
  <c r="T56" i="116" s="1"/>
  <c r="I55" i="72" s="1"/>
  <c r="I14" i="100"/>
  <c r="I25" i="100"/>
  <c r="P58" i="116"/>
  <c r="AF57" i="72" s="1"/>
  <c r="I51" i="100"/>
  <c r="P46" i="116"/>
  <c r="AF45" i="72" s="1"/>
  <c r="I38" i="100"/>
  <c r="I64" i="100"/>
  <c r="I47" i="100"/>
  <c r="I40" i="100"/>
  <c r="I55" i="100"/>
  <c r="P60" i="116"/>
  <c r="AF59" i="72" s="1"/>
  <c r="I48" i="100"/>
  <c r="P13" i="116"/>
  <c r="P54" i="116"/>
  <c r="AF53" i="72" s="1"/>
  <c r="Q49" i="116"/>
  <c r="S49" i="116" s="1"/>
  <c r="T49" i="116" s="1"/>
  <c r="I48" i="72" s="1"/>
  <c r="Q48" i="116"/>
  <c r="S48" i="116" s="1"/>
  <c r="T48" i="116" s="1"/>
  <c r="I47" i="72" s="1"/>
  <c r="Q52" i="115"/>
  <c r="S52" i="115" s="1"/>
  <c r="T52" i="115" s="1"/>
  <c r="H51" i="72" s="1"/>
  <c r="AE51" i="72"/>
  <c r="Q59" i="115"/>
  <c r="S59" i="115" s="1"/>
  <c r="T59" i="115" s="1"/>
  <c r="H58" i="72" s="1"/>
  <c r="AE58" i="72"/>
  <c r="P15" i="115"/>
  <c r="P75" i="115"/>
  <c r="AE74" i="72" s="1"/>
  <c r="P26" i="115"/>
  <c r="H45" i="100"/>
  <c r="P39" i="115"/>
  <c r="AE38" i="72" s="1"/>
  <c r="H54" i="100"/>
  <c r="Q42" i="115"/>
  <c r="S42" i="115" s="1"/>
  <c r="T42" i="115" s="1"/>
  <c r="H41" i="72" s="1"/>
  <c r="Q20" i="115"/>
  <c r="S20" i="115" s="1"/>
  <c r="T20" i="115" s="1"/>
  <c r="H19" i="72" s="1"/>
  <c r="P34" i="115"/>
  <c r="P18" i="115"/>
  <c r="AE17" i="72" s="1"/>
  <c r="P49" i="115"/>
  <c r="Q49" i="115" s="1"/>
  <c r="S49" i="115" s="1"/>
  <c r="T49" i="115" s="1"/>
  <c r="H48" i="72" s="1"/>
  <c r="H44" i="100"/>
  <c r="H41" i="100"/>
  <c r="P70" i="115"/>
  <c r="Q70" i="115" s="1"/>
  <c r="S70" i="115" s="1"/>
  <c r="T70" i="115" s="1"/>
  <c r="H69" i="72" s="1"/>
  <c r="P17" i="115"/>
  <c r="O76" i="115"/>
  <c r="Q51" i="115"/>
  <c r="S51" i="115" s="1"/>
  <c r="T51" i="115" s="1"/>
  <c r="H50" i="72" s="1"/>
  <c r="AE13" i="72"/>
  <c r="P44" i="115"/>
  <c r="AE43" i="72" s="1"/>
  <c r="P54" i="114"/>
  <c r="AD53" i="72" s="1"/>
  <c r="Q61" i="114"/>
  <c r="S61" i="114" s="1"/>
  <c r="T61" i="114" s="1"/>
  <c r="G60" i="72" s="1"/>
  <c r="G13" i="100"/>
  <c r="P19" i="114"/>
  <c r="AD18" i="72" s="1"/>
  <c r="P64" i="114"/>
  <c r="AD63" i="72" s="1"/>
  <c r="P25" i="114"/>
  <c r="P59" i="114"/>
  <c r="Q59" i="114" s="1"/>
  <c r="S59" i="114" s="1"/>
  <c r="T59" i="114" s="1"/>
  <c r="G58" i="72" s="1"/>
  <c r="P22" i="114"/>
  <c r="AD21" i="72" s="1"/>
  <c r="P53" i="114"/>
  <c r="AD52" i="72" s="1"/>
  <c r="P10" i="114"/>
  <c r="Q31" i="114"/>
  <c r="S31" i="114" s="1"/>
  <c r="T31" i="114" s="1"/>
  <c r="G30" i="72" s="1"/>
  <c r="Q71" i="114"/>
  <c r="S71" i="114" s="1"/>
  <c r="T71" i="114" s="1"/>
  <c r="G70" i="72" s="1"/>
  <c r="Q46" i="114"/>
  <c r="S46" i="114" s="1"/>
  <c r="T46" i="114" s="1"/>
  <c r="G45" i="72" s="1"/>
  <c r="Q39" i="114"/>
  <c r="S39" i="114" s="1"/>
  <c r="T39" i="114" s="1"/>
  <c r="G38" i="72" s="1"/>
  <c r="G56" i="100"/>
  <c r="G38" i="100"/>
  <c r="G20" i="100"/>
  <c r="Q8" i="113"/>
  <c r="S8" i="113" s="1"/>
  <c r="T8" i="113" s="1"/>
  <c r="F7" i="72" s="1"/>
  <c r="AC7" i="72"/>
  <c r="AC17" i="72"/>
  <c r="Q18" i="113"/>
  <c r="S18" i="113" s="1"/>
  <c r="T18" i="113" s="1"/>
  <c r="F17" i="72" s="1"/>
  <c r="Q73" i="113"/>
  <c r="S73" i="113" s="1"/>
  <c r="T73" i="113" s="1"/>
  <c r="F72" i="72" s="1"/>
  <c r="Q37" i="113"/>
  <c r="S37" i="113" s="1"/>
  <c r="T37" i="113" s="1"/>
  <c r="F36" i="72" s="1"/>
  <c r="Q75" i="113"/>
  <c r="S75" i="113" s="1"/>
  <c r="T75" i="113" s="1"/>
  <c r="F74" i="72" s="1"/>
  <c r="P69" i="113"/>
  <c r="AC68" i="72" s="1"/>
  <c r="Q62" i="113"/>
  <c r="S62" i="113" s="1"/>
  <c r="T62" i="113" s="1"/>
  <c r="F61" i="72" s="1"/>
  <c r="F61" i="100"/>
  <c r="F72" i="100"/>
  <c r="Q30" i="113"/>
  <c r="S30" i="113" s="1"/>
  <c r="T30" i="113" s="1"/>
  <c r="F29" i="72" s="1"/>
  <c r="Q67" i="113"/>
  <c r="S67" i="113" s="1"/>
  <c r="T67" i="113" s="1"/>
  <c r="F66" i="72" s="1"/>
  <c r="P74" i="113"/>
  <c r="AC73" i="72" s="1"/>
  <c r="F57" i="100"/>
  <c r="P63" i="113"/>
  <c r="AC62" i="72" s="1"/>
  <c r="P36" i="113"/>
  <c r="AC35" i="72" s="1"/>
  <c r="P35" i="113"/>
  <c r="AC34" i="72" s="1"/>
  <c r="Q22" i="113"/>
  <c r="S22" i="113" s="1"/>
  <c r="T22" i="113" s="1"/>
  <c r="F21" i="72" s="1"/>
  <c r="Q58" i="113"/>
  <c r="S58" i="113" s="1"/>
  <c r="T58" i="113" s="1"/>
  <c r="F57" i="72" s="1"/>
  <c r="AC64" i="72"/>
  <c r="G54" i="31"/>
  <c r="G63" i="31"/>
  <c r="G33" i="31"/>
  <c r="M26" i="31"/>
  <c r="O26" i="31" s="1"/>
  <c r="P26" i="31" s="1"/>
  <c r="R26" i="31" s="1"/>
  <c r="S26" i="31" s="1"/>
  <c r="N19" i="31"/>
  <c r="O19" i="31" s="1"/>
  <c r="P19" i="31" s="1"/>
  <c r="R19" i="31" s="1"/>
  <c r="S19" i="31" s="1"/>
  <c r="G17" i="31"/>
  <c r="L42" i="31"/>
  <c r="N42" i="31" s="1"/>
  <c r="G27" i="31"/>
  <c r="Q69" i="31"/>
  <c r="Q70" i="31" s="1"/>
  <c r="L58" i="31"/>
  <c r="M58" i="31" s="1"/>
  <c r="L14" i="31"/>
  <c r="N14" i="31" s="1"/>
  <c r="L16" i="31"/>
  <c r="N16" i="31" s="1"/>
  <c r="L65" i="31"/>
  <c r="M65" i="31" s="1"/>
  <c r="L34" i="31"/>
  <c r="M34" i="31" s="1"/>
  <c r="L51" i="31"/>
  <c r="N51" i="31" s="1"/>
  <c r="M29" i="31"/>
  <c r="O29" i="31" s="1"/>
  <c r="P29" i="31" s="1"/>
  <c r="R29" i="31" s="1"/>
  <c r="S29" i="31" s="1"/>
  <c r="I69" i="31"/>
  <c r="I70" i="31" s="1"/>
  <c r="E71" i="81" s="1"/>
  <c r="H71" i="81" s="1"/>
  <c r="L25" i="31"/>
  <c r="M25" i="31" s="1"/>
  <c r="L50" i="31"/>
  <c r="N50" i="31" s="1"/>
  <c r="L21" i="31"/>
  <c r="M21" i="31" s="1"/>
  <c r="G16" i="31"/>
  <c r="L22" i="31"/>
  <c r="N22" i="31" s="1"/>
  <c r="L36" i="31"/>
  <c r="N36" i="31" s="1"/>
  <c r="L45" i="31"/>
  <c r="N45" i="31" s="1"/>
  <c r="L53" i="31"/>
  <c r="M53" i="31" s="1"/>
  <c r="L57" i="31"/>
  <c r="N57" i="31" s="1"/>
  <c r="L15" i="31"/>
  <c r="M15" i="31" s="1"/>
  <c r="L35" i="31"/>
  <c r="M35" i="31" s="1"/>
  <c r="L39" i="31"/>
  <c r="M39" i="31" s="1"/>
  <c r="L44" i="31"/>
  <c r="M44" i="31" s="1"/>
  <c r="L48" i="31"/>
  <c r="M48" i="31" s="1"/>
  <c r="L52" i="31"/>
  <c r="N52" i="31" s="1"/>
  <c r="L56" i="31"/>
  <c r="M56" i="31" s="1"/>
  <c r="L64" i="31"/>
  <c r="M64" i="31" s="1"/>
  <c r="L24" i="31"/>
  <c r="N24" i="31" s="1"/>
  <c r="L12" i="31"/>
  <c r="M12" i="31" s="1"/>
  <c r="L61" i="31"/>
  <c r="N61" i="31" s="1"/>
  <c r="G18" i="31"/>
  <c r="M31" i="31"/>
  <c r="M17" i="31"/>
  <c r="N17" i="31"/>
  <c r="M55" i="31"/>
  <c r="N55" i="31"/>
  <c r="N67" i="31"/>
  <c r="M67" i="31"/>
  <c r="N30" i="31"/>
  <c r="M30" i="31"/>
  <c r="N63" i="31"/>
  <c r="M63" i="31"/>
  <c r="N21" i="31"/>
  <c r="M45" i="31"/>
  <c r="M38" i="31"/>
  <c r="N38" i="31"/>
  <c r="N18" i="31"/>
  <c r="N23" i="31"/>
  <c r="O23" i="31" s="1"/>
  <c r="P23" i="31" s="1"/>
  <c r="R23" i="31" s="1"/>
  <c r="S23" i="31" s="1"/>
  <c r="M47" i="31"/>
  <c r="N47" i="31"/>
  <c r="L40" i="31"/>
  <c r="L13" i="31"/>
  <c r="N13" i="31" s="1"/>
  <c r="G22" i="31"/>
  <c r="G36" i="31"/>
  <c r="L37" i="31"/>
  <c r="L46" i="31"/>
  <c r="L60" i="31"/>
  <c r="G23" i="31"/>
  <c r="G31" i="31"/>
  <c r="G62" i="31"/>
  <c r="M20" i="31"/>
  <c r="O20" i="31" s="1"/>
  <c r="C69" i="31"/>
  <c r="C70" i="31" s="1"/>
  <c r="C72" i="31" s="1"/>
  <c r="G42" i="129"/>
  <c r="L49" i="31"/>
  <c r="M49" i="31" s="1"/>
  <c r="G45" i="31"/>
  <c r="L28" i="31"/>
  <c r="M68" i="31"/>
  <c r="O68" i="31" s="1"/>
  <c r="P68" i="31" s="1"/>
  <c r="R68" i="31" s="1"/>
  <c r="S68" i="31" s="1"/>
  <c r="S5" i="100"/>
  <c r="T5" i="100" s="1"/>
  <c r="U5" i="100" s="1"/>
  <c r="V5" i="100" s="1"/>
  <c r="H64" i="33"/>
  <c r="G64" i="33"/>
  <c r="H58" i="33"/>
  <c r="G58" i="33"/>
  <c r="H40" i="33"/>
  <c r="G40" i="33"/>
  <c r="F18" i="33"/>
  <c r="F38" i="33"/>
  <c r="H38" i="33" s="1"/>
  <c r="F42" i="33"/>
  <c r="G42" i="33" s="1"/>
  <c r="F57" i="33"/>
  <c r="G57" i="33" s="1"/>
  <c r="F45" i="33"/>
  <c r="H45" i="33" s="1"/>
  <c r="G72" i="33"/>
  <c r="F13" i="33"/>
  <c r="G13" i="33" s="1"/>
  <c r="F12" i="33"/>
  <c r="H12" i="33" s="1"/>
  <c r="F24" i="33"/>
  <c r="F44" i="33"/>
  <c r="G44" i="33" s="1"/>
  <c r="F56" i="33"/>
  <c r="G56" i="33" s="1"/>
  <c r="H48" i="33"/>
  <c r="G48" i="33"/>
  <c r="G18" i="33"/>
  <c r="H18" i="33"/>
  <c r="G10" i="33"/>
  <c r="H10" i="33"/>
  <c r="H74" i="33"/>
  <c r="G34" i="33"/>
  <c r="F17" i="33"/>
  <c r="H17" i="33" s="1"/>
  <c r="F37" i="33"/>
  <c r="F49" i="33"/>
  <c r="H49" i="33" s="1"/>
  <c r="F69" i="33"/>
  <c r="F14" i="33"/>
  <c r="G14" i="33" s="1"/>
  <c r="F22" i="33"/>
  <c r="H22" i="33" s="1"/>
  <c r="F30" i="33"/>
  <c r="G30" i="33" s="1"/>
  <c r="F46" i="33"/>
  <c r="H46" i="33" s="1"/>
  <c r="F54" i="33"/>
  <c r="H54" i="33" s="1"/>
  <c r="F62" i="33"/>
  <c r="H62" i="33" s="1"/>
  <c r="E76" i="33"/>
  <c r="F77" i="33" s="1"/>
  <c r="G26" i="33"/>
  <c r="F9" i="33"/>
  <c r="G9" i="33" s="1"/>
  <c r="F29" i="33"/>
  <c r="F41" i="33"/>
  <c r="H41" i="33" s="1"/>
  <c r="F61" i="33"/>
  <c r="F73" i="33"/>
  <c r="H73" i="33" s="1"/>
  <c r="D76" i="33"/>
  <c r="G45" i="33"/>
  <c r="F21" i="33"/>
  <c r="F33" i="33"/>
  <c r="G33" i="33" s="1"/>
  <c r="F53" i="33"/>
  <c r="F65" i="33"/>
  <c r="H65" i="33" s="1"/>
  <c r="H70" i="33"/>
  <c r="G70" i="33"/>
  <c r="G36" i="33"/>
  <c r="H36" i="33"/>
  <c r="H7" i="33"/>
  <c r="H68" i="33"/>
  <c r="H16" i="33"/>
  <c r="G16" i="33"/>
  <c r="H32" i="33"/>
  <c r="G32" i="33"/>
  <c r="F8" i="33"/>
  <c r="F11" i="33"/>
  <c r="F15" i="33"/>
  <c r="F19" i="33"/>
  <c r="F23" i="33"/>
  <c r="F27" i="33"/>
  <c r="F31" i="33"/>
  <c r="F35" i="33"/>
  <c r="F39" i="33"/>
  <c r="F43" i="33"/>
  <c r="F47" i="33"/>
  <c r="F51" i="33"/>
  <c r="F55" i="33"/>
  <c r="F59" i="33"/>
  <c r="F63" i="33"/>
  <c r="F67" i="33"/>
  <c r="F71" i="33"/>
  <c r="F75" i="33"/>
  <c r="G20" i="33"/>
  <c r="H20" i="33"/>
  <c r="H52" i="33"/>
  <c r="G50" i="33"/>
  <c r="H24" i="33"/>
  <c r="G24" i="33"/>
  <c r="H25" i="33"/>
  <c r="H60" i="33"/>
  <c r="H63" i="81"/>
  <c r="G9" i="81"/>
  <c r="G14" i="81"/>
  <c r="H30" i="81"/>
  <c r="G33" i="81"/>
  <c r="H28" i="81"/>
  <c r="G35" i="81"/>
  <c r="G34" i="81"/>
  <c r="G70" i="81"/>
  <c r="H70" i="81"/>
  <c r="G13" i="81"/>
  <c r="T4" i="76"/>
  <c r="AQ6" i="72"/>
  <c r="Q21" i="76"/>
  <c r="AQ23" i="72" s="1"/>
  <c r="T23" i="100"/>
  <c r="U34" i="100"/>
  <c r="Q32" i="80"/>
  <c r="AR34" i="72" s="1"/>
  <c r="U60" i="100"/>
  <c r="Q58" i="80"/>
  <c r="U24" i="100"/>
  <c r="Q22" i="80"/>
  <c r="AR24" i="72" s="1"/>
  <c r="T9" i="100"/>
  <c r="Q7" i="76"/>
  <c r="AQ9" i="72" s="1"/>
  <c r="R38" i="80"/>
  <c r="T38" i="80" s="1"/>
  <c r="U38" i="80" s="1"/>
  <c r="V40" i="72" s="1"/>
  <c r="Q49" i="80"/>
  <c r="AR51" i="72" s="1"/>
  <c r="Q53" i="76"/>
  <c r="AQ55" i="72" s="1"/>
  <c r="AR11" i="72"/>
  <c r="R9" i="80"/>
  <c r="T9" i="80" s="1"/>
  <c r="U9" i="80" s="1"/>
  <c r="V11" i="72" s="1"/>
  <c r="T59" i="100"/>
  <c r="Q57" i="76"/>
  <c r="Q63" i="76"/>
  <c r="AQ65" i="72" s="1"/>
  <c r="U22" i="100"/>
  <c r="Q20" i="80"/>
  <c r="AR22" i="72" s="1"/>
  <c r="S29" i="46"/>
  <c r="S30" i="46" s="1"/>
  <c r="AA14" i="72" s="1"/>
  <c r="R29" i="46"/>
  <c r="S7" i="118"/>
  <c r="AH46" i="72"/>
  <c r="Q47" i="118"/>
  <c r="S47" i="118" s="1"/>
  <c r="T47" i="118" s="1"/>
  <c r="L46" i="72" s="1"/>
  <c r="AH68" i="72"/>
  <c r="Q69" i="118"/>
  <c r="S69" i="118" s="1"/>
  <c r="T69" i="118" s="1"/>
  <c r="L68" i="72" s="1"/>
  <c r="J51" i="100"/>
  <c r="R52" i="117"/>
  <c r="AG51" i="72" s="1"/>
  <c r="Q76" i="117"/>
  <c r="K51" i="100"/>
  <c r="P52" i="118"/>
  <c r="AH51" i="72" s="1"/>
  <c r="P58" i="119"/>
  <c r="AI57" i="72" s="1"/>
  <c r="L57" i="100"/>
  <c r="O76" i="119"/>
  <c r="M57" i="100"/>
  <c r="P58" i="120"/>
  <c r="AJ57" i="72" s="1"/>
  <c r="P13" i="120"/>
  <c r="AJ12" i="72" s="1"/>
  <c r="M12" i="100"/>
  <c r="O76" i="120"/>
  <c r="F49" i="100"/>
  <c r="P50" i="113"/>
  <c r="AC49" i="72" s="1"/>
  <c r="I49" i="100"/>
  <c r="P50" i="116"/>
  <c r="AF49" i="72" s="1"/>
  <c r="O76" i="116"/>
  <c r="P53" i="116"/>
  <c r="AF52" i="72" s="1"/>
  <c r="R53" i="117"/>
  <c r="AG52" i="72" s="1"/>
  <c r="J52" i="100"/>
  <c r="P73" i="80"/>
  <c r="P77" i="80" s="1"/>
  <c r="Q29" i="80"/>
  <c r="AR18" i="72"/>
  <c r="R16" i="80"/>
  <c r="T16" i="80" s="1"/>
  <c r="U16" i="80" s="1"/>
  <c r="V18" i="72" s="1"/>
  <c r="Q49" i="76"/>
  <c r="T51" i="100"/>
  <c r="T71" i="100"/>
  <c r="Q69" i="76"/>
  <c r="AQ71" i="72" s="1"/>
  <c r="AR26" i="72"/>
  <c r="R24" i="80"/>
  <c r="T24" i="80" s="1"/>
  <c r="U24" i="80" s="1"/>
  <c r="V26" i="72" s="1"/>
  <c r="T6" i="100"/>
  <c r="P73" i="76"/>
  <c r="P77" i="76" s="1"/>
  <c r="U67" i="100"/>
  <c r="R65" i="80"/>
  <c r="T65" i="80" s="1"/>
  <c r="U65" i="80" s="1"/>
  <c r="V67" i="72" s="1"/>
  <c r="R45" i="76"/>
  <c r="T45" i="76" s="1"/>
  <c r="U45" i="76" s="1"/>
  <c r="U47" i="72" s="1"/>
  <c r="U6" i="100"/>
  <c r="Q4" i="80"/>
  <c r="R4" i="80" s="1"/>
  <c r="Q29" i="76"/>
  <c r="T31" i="100"/>
  <c r="T38" i="100"/>
  <c r="Q36" i="76"/>
  <c r="AQ38" i="72" s="1"/>
  <c r="T39" i="100"/>
  <c r="R37" i="76"/>
  <c r="T37" i="76" s="1"/>
  <c r="U37" i="76" s="1"/>
  <c r="U39" i="72" s="1"/>
  <c r="T48" i="100"/>
  <c r="Q46" i="76"/>
  <c r="AQ48" i="72" s="1"/>
  <c r="T11" i="100"/>
  <c r="Q9" i="76"/>
  <c r="U49" i="100"/>
  <c r="Q47" i="80"/>
  <c r="AD6" i="72"/>
  <c r="Q7" i="114"/>
  <c r="G6" i="100"/>
  <c r="O77" i="114"/>
  <c r="Q7" i="113"/>
  <c r="O76" i="113"/>
  <c r="F6" i="100"/>
  <c r="AJ30" i="72"/>
  <c r="Q31" i="120"/>
  <c r="S31" i="120" s="1"/>
  <c r="T31" i="120" s="1"/>
  <c r="N30" i="72" s="1"/>
  <c r="AD62" i="72"/>
  <c r="Q63" i="114"/>
  <c r="S63" i="114" s="1"/>
  <c r="T63" i="114" s="1"/>
  <c r="G62" i="72" s="1"/>
  <c r="U27" i="100"/>
  <c r="Q25" i="80"/>
  <c r="R18" i="46"/>
  <c r="T62" i="100"/>
  <c r="Q60" i="76"/>
  <c r="AQ62" i="72" s="1"/>
  <c r="T49" i="100"/>
  <c r="Q47" i="76"/>
  <c r="R14" i="76"/>
  <c r="T14" i="76" s="1"/>
  <c r="U14" i="76" s="1"/>
  <c r="U16" i="72" s="1"/>
  <c r="Q14" i="114"/>
  <c r="S14" i="114" s="1"/>
  <c r="T14" i="114" s="1"/>
  <c r="G13" i="72" s="1"/>
  <c r="AD13" i="72"/>
  <c r="K72" i="100"/>
  <c r="P73" i="118"/>
  <c r="AH72" i="72" s="1"/>
  <c r="L72" i="100"/>
  <c r="P73" i="119"/>
  <c r="AI72" i="72" s="1"/>
  <c r="P15" i="120"/>
  <c r="AJ14" i="72" s="1"/>
  <c r="M14" i="100"/>
  <c r="P12" i="113"/>
  <c r="AC11" i="72" s="1"/>
  <c r="F11" i="100"/>
  <c r="I11" i="100"/>
  <c r="P12" i="116"/>
  <c r="AF11" i="72" s="1"/>
  <c r="I46" i="100"/>
  <c r="P47" i="116"/>
  <c r="AF46" i="72" s="1"/>
  <c r="J46" i="100"/>
  <c r="R47" i="117"/>
  <c r="AG46" i="72" s="1"/>
  <c r="H66" i="100"/>
  <c r="P67" i="115"/>
  <c r="AE66" i="72" s="1"/>
  <c r="H37" i="100"/>
  <c r="P38" i="115"/>
  <c r="AE37" i="72" s="1"/>
  <c r="H22" i="100"/>
  <c r="P23" i="115"/>
  <c r="AE22" i="72" s="1"/>
  <c r="H35" i="100"/>
  <c r="P36" i="115"/>
  <c r="AE35" i="72" s="1"/>
  <c r="P69" i="115"/>
  <c r="AE68" i="72" s="1"/>
  <c r="N27" i="31"/>
  <c r="M27" i="31"/>
  <c r="M62" i="31"/>
  <c r="N62" i="31"/>
  <c r="M13" i="31"/>
  <c r="M24" i="31"/>
  <c r="N32" i="31"/>
  <c r="M32" i="31"/>
  <c r="N41" i="31"/>
  <c r="M41" i="31"/>
  <c r="H57" i="100"/>
  <c r="P58" i="115"/>
  <c r="AE57" i="72" s="1"/>
  <c r="H59" i="100"/>
  <c r="P60" i="115"/>
  <c r="AE59" i="72" s="1"/>
  <c r="H65" i="100"/>
  <c r="P66" i="115"/>
  <c r="AE65" i="72" s="1"/>
  <c r="H55" i="100"/>
  <c r="P56" i="115"/>
  <c r="AE55" i="72" s="1"/>
  <c r="H15" i="100"/>
  <c r="P16" i="115"/>
  <c r="AE15" i="72" s="1"/>
  <c r="H64" i="100"/>
  <c r="P65" i="115"/>
  <c r="AE64" i="72" s="1"/>
  <c r="H52" i="100"/>
  <c r="P53" i="115"/>
  <c r="AE52" i="72" s="1"/>
  <c r="H26" i="100"/>
  <c r="P27" i="115"/>
  <c r="AE26" i="72" s="1"/>
  <c r="H71" i="100"/>
  <c r="P72" i="115"/>
  <c r="AE71" i="72" s="1"/>
  <c r="P62" i="114"/>
  <c r="AD61" i="72" s="1"/>
  <c r="AF63" i="72"/>
  <c r="Q64" i="116"/>
  <c r="S64" i="116" s="1"/>
  <c r="T64" i="116" s="1"/>
  <c r="I63" i="72" s="1"/>
  <c r="Q51" i="116"/>
  <c r="S51" i="116" s="1"/>
  <c r="T51" i="116" s="1"/>
  <c r="I50" i="72" s="1"/>
  <c r="I50" i="100"/>
  <c r="J50" i="100"/>
  <c r="R51" i="117"/>
  <c r="K62" i="100"/>
  <c r="P63" i="118"/>
  <c r="AH62" i="72" s="1"/>
  <c r="AI70" i="72"/>
  <c r="Q71" i="119"/>
  <c r="S71" i="119" s="1"/>
  <c r="T71" i="119" s="1"/>
  <c r="M70" i="72" s="1"/>
  <c r="AH6" i="72"/>
  <c r="P7" i="120"/>
  <c r="Q7" i="120" s="1"/>
  <c r="I72" i="100"/>
  <c r="P73" i="116"/>
  <c r="R73" i="117"/>
  <c r="J72" i="100"/>
  <c r="K14" i="100"/>
  <c r="P15" i="118"/>
  <c r="O76" i="118"/>
  <c r="L14" i="100"/>
  <c r="P15" i="119"/>
  <c r="Q15" i="119" s="1"/>
  <c r="S15" i="119" s="1"/>
  <c r="T15" i="119" s="1"/>
  <c r="M14" i="72" s="1"/>
  <c r="P12" i="114"/>
  <c r="G11" i="100"/>
  <c r="P47" i="114"/>
  <c r="AD46" i="72" s="1"/>
  <c r="G46" i="100"/>
  <c r="P47" i="113"/>
  <c r="F46" i="100"/>
  <c r="AF28" i="72"/>
  <c r="Q29" i="116"/>
  <c r="S29" i="116" s="1"/>
  <c r="T29" i="116" s="1"/>
  <c r="I28" i="72" s="1"/>
  <c r="AG8" i="72"/>
  <c r="S9" i="117"/>
  <c r="U9" i="117" s="1"/>
  <c r="V9" i="117" s="1"/>
  <c r="K8" i="72" s="1"/>
  <c r="AC15" i="72"/>
  <c r="Q16" i="113"/>
  <c r="S16" i="113" s="1"/>
  <c r="T16" i="113" s="1"/>
  <c r="F15" i="72" s="1"/>
  <c r="J30" i="100"/>
  <c r="R31" i="117"/>
  <c r="P45" i="113"/>
  <c r="AC44" i="72" s="1"/>
  <c r="F44" i="100"/>
  <c r="R32" i="117"/>
  <c r="AG31" i="72" s="1"/>
  <c r="J31" i="100"/>
  <c r="K31" i="100"/>
  <c r="P32" i="118"/>
  <c r="K48" i="100"/>
  <c r="Q49" i="118"/>
  <c r="S49" i="118" s="1"/>
  <c r="T49" i="118" s="1"/>
  <c r="L48" i="72" s="1"/>
  <c r="P49" i="119"/>
  <c r="AI48" i="72" s="1"/>
  <c r="L48" i="100"/>
  <c r="Q21" i="120"/>
  <c r="S21" i="120" s="1"/>
  <c r="T21" i="120" s="1"/>
  <c r="N20" i="72" s="1"/>
  <c r="M20" i="100"/>
  <c r="F27" i="100"/>
  <c r="P28" i="113"/>
  <c r="AC27" i="72" s="1"/>
  <c r="J9" i="100"/>
  <c r="R10" i="117"/>
  <c r="P10" i="118"/>
  <c r="AH9" i="72" s="1"/>
  <c r="P43" i="118"/>
  <c r="AH42" i="72" s="1"/>
  <c r="K42" i="100"/>
  <c r="P43" i="119"/>
  <c r="AI42" i="72" s="1"/>
  <c r="L42" i="100"/>
  <c r="G23" i="100"/>
  <c r="P24" i="114"/>
  <c r="F71" i="100"/>
  <c r="P72" i="113"/>
  <c r="I71" i="100"/>
  <c r="P72" i="116"/>
  <c r="J45" i="100"/>
  <c r="R46" i="117"/>
  <c r="P52" i="119"/>
  <c r="L51" i="100"/>
  <c r="P52" i="120"/>
  <c r="AJ51" i="72" s="1"/>
  <c r="M51" i="100"/>
  <c r="G57" i="100"/>
  <c r="P58" i="114"/>
  <c r="G12" i="100"/>
  <c r="P13" i="114"/>
  <c r="F12" i="100"/>
  <c r="Q13" i="113"/>
  <c r="S13" i="113" s="1"/>
  <c r="T13" i="113" s="1"/>
  <c r="F12" i="72" s="1"/>
  <c r="J49" i="100"/>
  <c r="R50" i="117"/>
  <c r="AG49" i="72" s="1"/>
  <c r="P50" i="118"/>
  <c r="K49" i="100"/>
  <c r="P53" i="118"/>
  <c r="K52" i="100"/>
  <c r="AJ25" i="72"/>
  <c r="Q26" i="120"/>
  <c r="S26" i="120" s="1"/>
  <c r="T26" i="120" s="1"/>
  <c r="N25" i="72" s="1"/>
  <c r="P28" i="116"/>
  <c r="P45" i="114"/>
  <c r="AD44" i="72" s="1"/>
  <c r="L61" i="100"/>
  <c r="P62" i="119"/>
  <c r="AG12" i="72"/>
  <c r="S13" i="117"/>
  <c r="U13" i="117" s="1"/>
  <c r="V13" i="117" s="1"/>
  <c r="K12" i="72" s="1"/>
  <c r="K9" i="100"/>
  <c r="AE29" i="72"/>
  <c r="Q30" i="115"/>
  <c r="S30" i="115" s="1"/>
  <c r="T30" i="115" s="1"/>
  <c r="H29" i="72" s="1"/>
  <c r="H7" i="100"/>
  <c r="P8" i="115"/>
  <c r="AE7" i="72" s="1"/>
  <c r="AD68" i="72"/>
  <c r="Q69" i="114"/>
  <c r="S69" i="114" s="1"/>
  <c r="T69" i="114" s="1"/>
  <c r="G68" i="72" s="1"/>
  <c r="AH37" i="72"/>
  <c r="Q38" i="118"/>
  <c r="S38" i="118" s="1"/>
  <c r="T38" i="118" s="1"/>
  <c r="L37" i="72" s="1"/>
  <c r="J44" i="100"/>
  <c r="R45" i="117"/>
  <c r="M48" i="100"/>
  <c r="P49" i="120"/>
  <c r="F20" i="100"/>
  <c r="P21" i="113"/>
  <c r="J27" i="100"/>
  <c r="S28" i="117"/>
  <c r="U28" i="117" s="1"/>
  <c r="V28" i="117" s="1"/>
  <c r="K27" i="72" s="1"/>
  <c r="L45" i="100"/>
  <c r="P46" i="119"/>
  <c r="P67" i="116"/>
  <c r="AF66" i="72" s="1"/>
  <c r="I66" i="100"/>
  <c r="L16" i="100"/>
  <c r="P17" i="119"/>
  <c r="P71" i="113"/>
  <c r="F70" i="100"/>
  <c r="J35" i="100"/>
  <c r="R36" i="117"/>
  <c r="P37" i="119"/>
  <c r="L36" i="100"/>
  <c r="G25" i="100"/>
  <c r="P26" i="114"/>
  <c r="K73" i="100"/>
  <c r="P74" i="118"/>
  <c r="AH73" i="72" s="1"/>
  <c r="P61" i="120"/>
  <c r="AJ60" i="72" s="1"/>
  <c r="M60" i="100"/>
  <c r="F65" i="100"/>
  <c r="P66" i="113"/>
  <c r="P75" i="116"/>
  <c r="AF74" i="72" s="1"/>
  <c r="L55" i="100"/>
  <c r="P56" i="119"/>
  <c r="P41" i="120"/>
  <c r="AJ40" i="72" s="1"/>
  <c r="I29" i="100"/>
  <c r="P30" i="116"/>
  <c r="AF29" i="72" s="1"/>
  <c r="P16" i="118"/>
  <c r="AH15" i="72" s="1"/>
  <c r="F38" i="100"/>
  <c r="P39" i="113"/>
  <c r="AC38" i="72" s="1"/>
  <c r="J17" i="100"/>
  <c r="R18" i="117"/>
  <c r="P27" i="119"/>
  <c r="L26" i="100"/>
  <c r="L63" i="100"/>
  <c r="P64" i="119"/>
  <c r="M63" i="100"/>
  <c r="P64" i="120"/>
  <c r="Q70" i="116"/>
  <c r="S70" i="116" s="1"/>
  <c r="T70" i="116" s="1"/>
  <c r="I69" i="72" s="1"/>
  <c r="I69" i="100"/>
  <c r="K54" i="100"/>
  <c r="P55" i="118"/>
  <c r="AH54" i="72" s="1"/>
  <c r="L54" i="100"/>
  <c r="P55" i="119"/>
  <c r="P68" i="116"/>
  <c r="AF67" i="72" s="1"/>
  <c r="J68" i="100"/>
  <c r="R69" i="117"/>
  <c r="AG68" i="72" s="1"/>
  <c r="F33" i="100"/>
  <c r="P34" i="113"/>
  <c r="L39" i="100"/>
  <c r="P40" i="119"/>
  <c r="AI39" i="72" s="1"/>
  <c r="P19" i="115"/>
  <c r="AE18" i="72" s="1"/>
  <c r="P64" i="115"/>
  <c r="AE63" i="72" s="1"/>
  <c r="P54" i="115"/>
  <c r="AE53" i="72" s="1"/>
  <c r="H53" i="100"/>
  <c r="Q39" i="125"/>
  <c r="S39" i="125" s="1"/>
  <c r="T39" i="125" s="1"/>
  <c r="O38" i="72" s="1"/>
  <c r="AK38" i="72"/>
  <c r="Q13" i="126"/>
  <c r="S13" i="126" s="1"/>
  <c r="T13" i="126" s="1"/>
  <c r="P12" i="72" s="1"/>
  <c r="AL12" i="72"/>
  <c r="R6" i="100"/>
  <c r="P7" i="129"/>
  <c r="Q66" i="129"/>
  <c r="S66" i="129" s="1"/>
  <c r="T66" i="129" s="1"/>
  <c r="S65" i="72" s="1"/>
  <c r="AO65" i="72"/>
  <c r="AO24" i="72"/>
  <c r="Q25" i="129"/>
  <c r="S25" i="129" s="1"/>
  <c r="T25" i="129" s="1"/>
  <c r="S24" i="72" s="1"/>
  <c r="AN9" i="72"/>
  <c r="Q10" i="128"/>
  <c r="AM72" i="72"/>
  <c r="AM65" i="72"/>
  <c r="Q66" i="127"/>
  <c r="S66" i="127" s="1"/>
  <c r="T66" i="127" s="1"/>
  <c r="Q65" i="72" s="1"/>
  <c r="O26" i="100"/>
  <c r="P27" i="126"/>
  <c r="AL26" i="72" s="1"/>
  <c r="O9" i="100"/>
  <c r="P10" i="126"/>
  <c r="AL9" i="72" s="1"/>
  <c r="N67" i="100"/>
  <c r="P68" i="125"/>
  <c r="AK67" i="72" s="1"/>
  <c r="Q37" i="125"/>
  <c r="S37" i="125" s="1"/>
  <c r="T37" i="125" s="1"/>
  <c r="O36" i="72" s="1"/>
  <c r="AK36" i="72"/>
  <c r="N20" i="100"/>
  <c r="P21" i="125"/>
  <c r="AK20" i="72" s="1"/>
  <c r="N17" i="100"/>
  <c r="Q18" i="125"/>
  <c r="S18" i="125" s="1"/>
  <c r="T18" i="125" s="1"/>
  <c r="O17" i="72" s="1"/>
  <c r="O76" i="125"/>
  <c r="AN21" i="72"/>
  <c r="AM22" i="72"/>
  <c r="P45" i="116"/>
  <c r="S6" i="100"/>
  <c r="O76" i="131"/>
  <c r="P7" i="131"/>
  <c r="Q7" i="131" s="1"/>
  <c r="Q72" i="131"/>
  <c r="S72" i="131" s="1"/>
  <c r="T72" i="131" s="1"/>
  <c r="T71" i="72" s="1"/>
  <c r="AP60" i="72"/>
  <c r="Q61" i="131"/>
  <c r="S61" i="131" s="1"/>
  <c r="T61" i="131" s="1"/>
  <c r="T60" i="72" s="1"/>
  <c r="S13" i="100"/>
  <c r="P14" i="131"/>
  <c r="AP13" i="72" s="1"/>
  <c r="P11" i="115"/>
  <c r="AE10" i="72" s="1"/>
  <c r="AP43" i="72"/>
  <c r="H11" i="100"/>
  <c r="P12" i="115"/>
  <c r="M33" i="31"/>
  <c r="N33" i="31"/>
  <c r="M42" i="31"/>
  <c r="M59" i="31"/>
  <c r="N59" i="31"/>
  <c r="AK21" i="72"/>
  <c r="AL71" i="72"/>
  <c r="P20" i="31"/>
  <c r="R20" i="31" s="1"/>
  <c r="S20" i="31" s="1"/>
  <c r="AN38" i="72"/>
  <c r="O24" i="100"/>
  <c r="P25" i="126"/>
  <c r="AP58" i="72"/>
  <c r="Q59" i="131"/>
  <c r="S59" i="131" s="1"/>
  <c r="T59" i="131" s="1"/>
  <c r="T58" i="72" s="1"/>
  <c r="Q17" i="125"/>
  <c r="S17" i="125" s="1"/>
  <c r="T17" i="125" s="1"/>
  <c r="O16" i="72" s="1"/>
  <c r="Q69" i="128"/>
  <c r="S69" i="128" s="1"/>
  <c r="T69" i="128" s="1"/>
  <c r="R68" i="72" s="1"/>
  <c r="O69" i="100"/>
  <c r="Q70" i="126"/>
  <c r="S70" i="126" s="1"/>
  <c r="T70" i="126" s="1"/>
  <c r="P69" i="72" s="1"/>
  <c r="AO23" i="72"/>
  <c r="Q71" i="131"/>
  <c r="S71" i="131" s="1"/>
  <c r="T71" i="131" s="1"/>
  <c r="T70" i="72" s="1"/>
  <c r="AP70" i="72"/>
  <c r="AN46" i="72"/>
  <c r="AO53" i="72"/>
  <c r="P61" i="125"/>
  <c r="N60" i="100"/>
  <c r="AO58" i="72"/>
  <c r="Q59" i="129"/>
  <c r="S59" i="129" s="1"/>
  <c r="T59" i="129" s="1"/>
  <c r="S58" i="72" s="1"/>
  <c r="AO50" i="72"/>
  <c r="Q51" i="129"/>
  <c r="S51" i="129" s="1"/>
  <c r="T51" i="129" s="1"/>
  <c r="S50" i="72" s="1"/>
  <c r="N58" i="100"/>
  <c r="P59" i="125"/>
  <c r="N47" i="100"/>
  <c r="P48" i="125"/>
  <c r="P56" i="126"/>
  <c r="AL55" i="72" s="1"/>
  <c r="O55" i="100"/>
  <c r="O64" i="100"/>
  <c r="P65" i="126"/>
  <c r="P10" i="100"/>
  <c r="P11" i="127"/>
  <c r="P34" i="100"/>
  <c r="P35" i="127"/>
  <c r="P56" i="100"/>
  <c r="P57" i="127"/>
  <c r="S27" i="100"/>
  <c r="P28" i="131"/>
  <c r="Q55" i="131"/>
  <c r="S55" i="131" s="1"/>
  <c r="T55" i="131" s="1"/>
  <c r="T54" i="72" s="1"/>
  <c r="AL59" i="72"/>
  <c r="O51" i="100"/>
  <c r="N10" i="100"/>
  <c r="P11" i="125"/>
  <c r="N35" i="100"/>
  <c r="P36" i="125"/>
  <c r="O34" i="100"/>
  <c r="P35" i="126"/>
  <c r="O42" i="100"/>
  <c r="P43" i="126"/>
  <c r="P49" i="126"/>
  <c r="O48" i="100"/>
  <c r="O52" i="100"/>
  <c r="P53" i="126"/>
  <c r="P28" i="100"/>
  <c r="P29" i="127"/>
  <c r="Q11" i="100"/>
  <c r="P12" i="128"/>
  <c r="Q31" i="100"/>
  <c r="P32" i="128"/>
  <c r="R43" i="100"/>
  <c r="P44" i="129"/>
  <c r="AO43" i="72" s="1"/>
  <c r="P58" i="129"/>
  <c r="R57" i="100"/>
  <c r="R66" i="100"/>
  <c r="P67" i="129"/>
  <c r="AO66" i="72" s="1"/>
  <c r="P7" i="127"/>
  <c r="P67" i="131"/>
  <c r="AP49" i="72"/>
  <c r="P24" i="127"/>
  <c r="S48" i="100"/>
  <c r="N29" i="100"/>
  <c r="P30" i="125"/>
  <c r="N33" i="100"/>
  <c r="P34" i="125"/>
  <c r="N68" i="100"/>
  <c r="O18" i="100"/>
  <c r="O22" i="100"/>
  <c r="Q9" i="100"/>
  <c r="O76" i="128"/>
  <c r="Q37" i="100"/>
  <c r="P38" i="128"/>
  <c r="Q73" i="100"/>
  <c r="P74" i="128"/>
  <c r="R19" i="100"/>
  <c r="P20" i="129"/>
  <c r="N25" i="100"/>
  <c r="P26" i="125"/>
  <c r="N56" i="100"/>
  <c r="P57" i="125"/>
  <c r="O6" i="100"/>
  <c r="P7" i="126"/>
  <c r="P36" i="100"/>
  <c r="P37" i="127"/>
  <c r="Q53" i="100"/>
  <c r="P54" i="128"/>
  <c r="P49" i="125"/>
  <c r="R27" i="100"/>
  <c r="J51" i="25"/>
  <c r="S50" i="1" s="1"/>
  <c r="J30" i="25"/>
  <c r="S29" i="1" s="1"/>
  <c r="J29" i="25"/>
  <c r="S28" i="1" s="1"/>
  <c r="H78" i="25"/>
  <c r="J12" i="25"/>
  <c r="S11" i="1" s="1"/>
  <c r="J20" i="25"/>
  <c r="S19" i="1" s="1"/>
  <c r="J42" i="25"/>
  <c r="S41" i="1" s="1"/>
  <c r="E78" i="25"/>
  <c r="J28" i="25"/>
  <c r="S27" i="1" s="1"/>
  <c r="J65" i="25"/>
  <c r="S64" i="1" s="1"/>
  <c r="J69" i="25"/>
  <c r="S68" i="1" s="1"/>
  <c r="J24" i="25"/>
  <c r="S23" i="1" s="1"/>
  <c r="J61" i="25"/>
  <c r="S60" i="1" s="1"/>
  <c r="J27" i="25"/>
  <c r="S26" i="1" s="1"/>
  <c r="J32" i="25"/>
  <c r="S31" i="1" s="1"/>
  <c r="J21" i="25"/>
  <c r="S20" i="1" s="1"/>
  <c r="J70" i="25"/>
  <c r="S69" i="1" s="1"/>
  <c r="J22" i="25"/>
  <c r="S21" i="1" s="1"/>
  <c r="J31" i="25"/>
  <c r="S30" i="1" s="1"/>
  <c r="J38" i="25"/>
  <c r="S37" i="1" s="1"/>
  <c r="J46" i="25"/>
  <c r="S45" i="1" s="1"/>
  <c r="J36" i="25"/>
  <c r="S35" i="1" s="1"/>
  <c r="J44" i="25"/>
  <c r="S43" i="1" s="1"/>
  <c r="J17" i="25"/>
  <c r="S16" i="1" s="1"/>
  <c r="J14" i="25"/>
  <c r="S13" i="1" s="1"/>
  <c r="J75" i="25"/>
  <c r="S74" i="1" s="1"/>
  <c r="J9" i="25"/>
  <c r="J71" i="25"/>
  <c r="S70" i="1" s="1"/>
  <c r="F45" i="125"/>
  <c r="G45" i="125" s="1"/>
  <c r="E75" i="2"/>
  <c r="E45" i="81" s="1"/>
  <c r="G10" i="2"/>
  <c r="H10" i="2" s="1"/>
  <c r="G42" i="2"/>
  <c r="H42" i="2" s="1"/>
  <c r="N5" i="2"/>
  <c r="O5" i="2" s="1"/>
  <c r="P5" i="2" s="1"/>
  <c r="Q5" i="2" s="1"/>
  <c r="R5" i="2" s="1"/>
  <c r="K5" i="2"/>
  <c r="L5" i="2" s="1"/>
  <c r="M5" i="2" s="1"/>
  <c r="G6" i="2"/>
  <c r="H6" i="2" s="1"/>
  <c r="G74" i="2"/>
  <c r="H74" i="2" s="1"/>
  <c r="F45" i="128"/>
  <c r="G45" i="128" s="1"/>
  <c r="G46" i="2"/>
  <c r="H46" i="2" s="1"/>
  <c r="F45" i="126"/>
  <c r="G45" i="126" s="1"/>
  <c r="F75" i="2"/>
  <c r="G72" i="81"/>
  <c r="G76" i="120"/>
  <c r="G76" i="119"/>
  <c r="G44" i="81"/>
  <c r="G76" i="116"/>
  <c r="F45" i="127"/>
  <c r="G45" i="127" s="1"/>
  <c r="F45" i="129"/>
  <c r="G45" i="129" s="1"/>
  <c r="F45" i="131"/>
  <c r="G45" i="131" s="1"/>
  <c r="G77" i="114"/>
  <c r="G76" i="117"/>
  <c r="F23" i="128"/>
  <c r="G23" i="128" s="1"/>
  <c r="G73" i="76"/>
  <c r="G77" i="76" s="1"/>
  <c r="G80" i="76" s="1"/>
  <c r="G73" i="80"/>
  <c r="G77" i="80" s="1"/>
  <c r="G80" i="80" s="1"/>
  <c r="G76" i="115"/>
  <c r="G76" i="118"/>
  <c r="G76" i="113"/>
  <c r="G42" i="126"/>
  <c r="G76" i="126" s="1"/>
  <c r="G42" i="128"/>
  <c r="G42" i="125"/>
  <c r="G76" i="125" s="1"/>
  <c r="G42" i="127"/>
  <c r="G42" i="131"/>
  <c r="G77" i="1"/>
  <c r="E21" i="81" s="1"/>
  <c r="G21" i="81" s="1"/>
  <c r="I77" i="1"/>
  <c r="E22" i="81" s="1"/>
  <c r="G22" i="81" s="1"/>
  <c r="H23" i="81"/>
  <c r="E77" i="1"/>
  <c r="E20" i="81" s="1"/>
  <c r="H20" i="81" s="1"/>
  <c r="D77" i="1"/>
  <c r="AM46" i="72" l="1"/>
  <c r="AO61" i="72"/>
  <c r="AN67" i="72"/>
  <c r="Q51" i="126"/>
  <c r="S51" i="126" s="1"/>
  <c r="T51" i="126" s="1"/>
  <c r="P50" i="72" s="1"/>
  <c r="AK54" i="72"/>
  <c r="AO74" i="72"/>
  <c r="AK62" i="72"/>
  <c r="Q10" i="131"/>
  <c r="S10" i="131" s="1"/>
  <c r="T10" i="131" s="1"/>
  <c r="T9" i="72" s="1"/>
  <c r="AP26" i="72"/>
  <c r="AP7" i="72"/>
  <c r="AO44" i="72"/>
  <c r="Q24" i="125"/>
  <c r="S24" i="125" s="1"/>
  <c r="T24" i="125" s="1"/>
  <c r="O23" i="72" s="1"/>
  <c r="Q70" i="128"/>
  <c r="S70" i="128" s="1"/>
  <c r="T70" i="128" s="1"/>
  <c r="R69" i="72" s="1"/>
  <c r="AL11" i="72"/>
  <c r="AL25" i="72"/>
  <c r="Q74" i="129"/>
  <c r="S74" i="129" s="1"/>
  <c r="T74" i="129" s="1"/>
  <c r="S73" i="72" s="1"/>
  <c r="Q42" i="129"/>
  <c r="S42" i="129" s="1"/>
  <c r="T42" i="129" s="1"/>
  <c r="S41" i="72" s="1"/>
  <c r="Q62" i="126"/>
  <c r="S62" i="126" s="1"/>
  <c r="T62" i="126" s="1"/>
  <c r="P61" i="72" s="1"/>
  <c r="Q50" i="127"/>
  <c r="S50" i="127" s="1"/>
  <c r="T50" i="127" s="1"/>
  <c r="Q49" i="72" s="1"/>
  <c r="Q38" i="131"/>
  <c r="S38" i="131" s="1"/>
  <c r="T38" i="131" s="1"/>
  <c r="T37" i="72" s="1"/>
  <c r="AN70" i="72"/>
  <c r="Q71" i="129"/>
  <c r="S71" i="129" s="1"/>
  <c r="T71" i="129" s="1"/>
  <c r="S70" i="72" s="1"/>
  <c r="Q33" i="131"/>
  <c r="S33" i="131" s="1"/>
  <c r="T33" i="131" s="1"/>
  <c r="T32" i="72" s="1"/>
  <c r="Q58" i="131"/>
  <c r="S58" i="131" s="1"/>
  <c r="T58" i="131" s="1"/>
  <c r="T57" i="72" s="1"/>
  <c r="AM38" i="72"/>
  <c r="S26" i="117"/>
  <c r="U26" i="117" s="1"/>
  <c r="V26" i="117" s="1"/>
  <c r="K25" i="72" s="1"/>
  <c r="AP21" i="72"/>
  <c r="Q74" i="127"/>
  <c r="S74" i="127" s="1"/>
  <c r="T74" i="127" s="1"/>
  <c r="Q73" i="72" s="1"/>
  <c r="Q41" i="128"/>
  <c r="S41" i="128" s="1"/>
  <c r="T41" i="128" s="1"/>
  <c r="R40" i="72" s="1"/>
  <c r="AN64" i="72"/>
  <c r="Q12" i="127"/>
  <c r="S12" i="127" s="1"/>
  <c r="T12" i="127" s="1"/>
  <c r="Q11" i="72" s="1"/>
  <c r="AK12" i="72"/>
  <c r="AK50" i="72"/>
  <c r="AM44" i="72"/>
  <c r="AM70" i="72"/>
  <c r="Q54" i="126"/>
  <c r="S54" i="126" s="1"/>
  <c r="T54" i="126" s="1"/>
  <c r="P53" i="72" s="1"/>
  <c r="AL36" i="72"/>
  <c r="Q56" i="129"/>
  <c r="S56" i="129" s="1"/>
  <c r="T56" i="129" s="1"/>
  <c r="S55" i="72" s="1"/>
  <c r="AL33" i="72"/>
  <c r="Q66" i="131"/>
  <c r="S66" i="131" s="1"/>
  <c r="T66" i="131" s="1"/>
  <c r="T65" i="72" s="1"/>
  <c r="Q14" i="126"/>
  <c r="S14" i="126" s="1"/>
  <c r="T14" i="126" s="1"/>
  <c r="P13" i="72" s="1"/>
  <c r="AP18" i="72"/>
  <c r="Q21" i="128"/>
  <c r="S21" i="128" s="1"/>
  <c r="T21" i="128" s="1"/>
  <c r="R20" i="72" s="1"/>
  <c r="Q32" i="129"/>
  <c r="S32" i="129" s="1"/>
  <c r="T32" i="129" s="1"/>
  <c r="S31" i="72" s="1"/>
  <c r="AN22" i="72"/>
  <c r="AP64" i="72"/>
  <c r="Q73" i="129"/>
  <c r="S73" i="129" s="1"/>
  <c r="T73" i="129" s="1"/>
  <c r="S72" i="72" s="1"/>
  <c r="Q23" i="125"/>
  <c r="S23" i="125" s="1"/>
  <c r="T23" i="125" s="1"/>
  <c r="O22" i="72" s="1"/>
  <c r="Q16" i="125"/>
  <c r="S16" i="125" s="1"/>
  <c r="T16" i="125" s="1"/>
  <c r="O15" i="72" s="1"/>
  <c r="AM13" i="72"/>
  <c r="AL14" i="72"/>
  <c r="Q19" i="127"/>
  <c r="S19" i="127" s="1"/>
  <c r="T19" i="127" s="1"/>
  <c r="Q18" i="72" s="1"/>
  <c r="Q21" i="129"/>
  <c r="S21" i="129" s="1"/>
  <c r="T21" i="129" s="1"/>
  <c r="S20" i="72" s="1"/>
  <c r="AN66" i="72"/>
  <c r="Q42" i="126"/>
  <c r="S42" i="126" s="1"/>
  <c r="T42" i="126" s="1"/>
  <c r="P41" i="72" s="1"/>
  <c r="AO68" i="72"/>
  <c r="Q17" i="128"/>
  <c r="S17" i="128" s="1"/>
  <c r="T17" i="128" s="1"/>
  <c r="R16" i="72" s="1"/>
  <c r="Q64" i="126"/>
  <c r="S64" i="126" s="1"/>
  <c r="T64" i="126" s="1"/>
  <c r="P63" i="72" s="1"/>
  <c r="AP47" i="72"/>
  <c r="AO67" i="72"/>
  <c r="Q22" i="126"/>
  <c r="S22" i="126" s="1"/>
  <c r="T22" i="126" s="1"/>
  <c r="P21" i="72" s="1"/>
  <c r="Q75" i="126"/>
  <c r="S75" i="126" s="1"/>
  <c r="T75" i="126" s="1"/>
  <c r="P74" i="72" s="1"/>
  <c r="AN36" i="72"/>
  <c r="AN27" i="72"/>
  <c r="AO37" i="72"/>
  <c r="AF41" i="72"/>
  <c r="AP34" i="72"/>
  <c r="Q33" i="127"/>
  <c r="S33" i="127" s="1"/>
  <c r="T33" i="127" s="1"/>
  <c r="Q32" i="72" s="1"/>
  <c r="Q30" i="131"/>
  <c r="S30" i="131" s="1"/>
  <c r="T30" i="131" s="1"/>
  <c r="T29" i="72" s="1"/>
  <c r="Q68" i="131"/>
  <c r="S68" i="131" s="1"/>
  <c r="T68" i="131" s="1"/>
  <c r="T67" i="72" s="1"/>
  <c r="Q51" i="131"/>
  <c r="S51" i="131" s="1"/>
  <c r="T51" i="131" s="1"/>
  <c r="T50" i="72" s="1"/>
  <c r="Q30" i="129"/>
  <c r="S30" i="129" s="1"/>
  <c r="T30" i="129" s="1"/>
  <c r="S29" i="72" s="1"/>
  <c r="AO25" i="72"/>
  <c r="Q26" i="129"/>
  <c r="S26" i="129" s="1"/>
  <c r="T26" i="129" s="1"/>
  <c r="S25" i="72" s="1"/>
  <c r="AO16" i="72"/>
  <c r="Q13" i="128"/>
  <c r="S13" i="128" s="1"/>
  <c r="T13" i="128" s="1"/>
  <c r="R12" i="72" s="1"/>
  <c r="Q45" i="128"/>
  <c r="S45" i="128" s="1"/>
  <c r="T45" i="128" s="1"/>
  <c r="R44" i="72" s="1"/>
  <c r="Q61" i="128"/>
  <c r="S61" i="128" s="1"/>
  <c r="T61" i="128" s="1"/>
  <c r="R60" i="72" s="1"/>
  <c r="AN60" i="72"/>
  <c r="AM31" i="72"/>
  <c r="AM40" i="72"/>
  <c r="Q38" i="127"/>
  <c r="S38" i="127" s="1"/>
  <c r="T38" i="127" s="1"/>
  <c r="Q37" i="72" s="1"/>
  <c r="AM61" i="72"/>
  <c r="Q46" i="127"/>
  <c r="S46" i="127" s="1"/>
  <c r="T46" i="127" s="1"/>
  <c r="Q45" i="72" s="1"/>
  <c r="Q66" i="126"/>
  <c r="S66" i="126" s="1"/>
  <c r="T66" i="126" s="1"/>
  <c r="P65" i="72" s="1"/>
  <c r="Q44" i="126"/>
  <c r="S44" i="126" s="1"/>
  <c r="T44" i="126" s="1"/>
  <c r="P43" i="72" s="1"/>
  <c r="Q31" i="126"/>
  <c r="S31" i="126" s="1"/>
  <c r="T31" i="126" s="1"/>
  <c r="P30" i="72" s="1"/>
  <c r="AL66" i="72"/>
  <c r="Q29" i="126"/>
  <c r="S29" i="126" s="1"/>
  <c r="T29" i="126" s="1"/>
  <c r="P28" i="72" s="1"/>
  <c r="AK7" i="72"/>
  <c r="Q56" i="125"/>
  <c r="S56" i="125" s="1"/>
  <c r="T56" i="125" s="1"/>
  <c r="O55" i="72" s="1"/>
  <c r="AK74" i="72"/>
  <c r="Q43" i="125"/>
  <c r="S43" i="125" s="1"/>
  <c r="T43" i="125" s="1"/>
  <c r="O42" i="72" s="1"/>
  <c r="S68" i="117"/>
  <c r="U68" i="117" s="1"/>
  <c r="V68" i="117" s="1"/>
  <c r="K67" i="72" s="1"/>
  <c r="D44" i="100"/>
  <c r="N54" i="31"/>
  <c r="O54" i="31" s="1"/>
  <c r="P54" i="31" s="1"/>
  <c r="R54" i="31" s="1"/>
  <c r="S54" i="31" s="1"/>
  <c r="N66" i="31"/>
  <c r="O66" i="31" s="1"/>
  <c r="P66" i="31" s="1"/>
  <c r="R66" i="31" s="1"/>
  <c r="S66" i="31" s="1"/>
  <c r="M52" i="31"/>
  <c r="M43" i="31"/>
  <c r="O43" i="31" s="1"/>
  <c r="P43" i="31" s="1"/>
  <c r="R43" i="31" s="1"/>
  <c r="S43" i="31" s="1"/>
  <c r="Q74" i="125"/>
  <c r="S74" i="125" s="1"/>
  <c r="T74" i="125" s="1"/>
  <c r="O73" i="72" s="1"/>
  <c r="AK73" i="72"/>
  <c r="Q48" i="126"/>
  <c r="S48" i="126" s="1"/>
  <c r="T48" i="126" s="1"/>
  <c r="P47" i="72" s="1"/>
  <c r="Q50" i="126"/>
  <c r="S50" i="126" s="1"/>
  <c r="T50" i="126" s="1"/>
  <c r="P49" i="72" s="1"/>
  <c r="Q53" i="128"/>
  <c r="S53" i="128" s="1"/>
  <c r="T53" i="128" s="1"/>
  <c r="R52" i="72" s="1"/>
  <c r="AK41" i="72"/>
  <c r="Q38" i="125"/>
  <c r="S38" i="125" s="1"/>
  <c r="T38" i="125" s="1"/>
  <c r="O37" i="72" s="1"/>
  <c r="AC56" i="72"/>
  <c r="Q72" i="127"/>
  <c r="S72" i="127" s="1"/>
  <c r="T72" i="127" s="1"/>
  <c r="Q71" i="72" s="1"/>
  <c r="Q40" i="129"/>
  <c r="S40" i="129" s="1"/>
  <c r="T40" i="129" s="1"/>
  <c r="S39" i="72" s="1"/>
  <c r="Q44" i="127"/>
  <c r="S44" i="127" s="1"/>
  <c r="T44" i="127" s="1"/>
  <c r="Q43" i="72" s="1"/>
  <c r="Q36" i="129"/>
  <c r="S36" i="129" s="1"/>
  <c r="T36" i="129" s="1"/>
  <c r="S35" i="72" s="1"/>
  <c r="Q69" i="126"/>
  <c r="S69" i="126" s="1"/>
  <c r="T69" i="126" s="1"/>
  <c r="P68" i="72" s="1"/>
  <c r="AO17" i="72"/>
  <c r="Q11" i="126"/>
  <c r="S11" i="126" s="1"/>
  <c r="T11" i="126" s="1"/>
  <c r="P10" i="72" s="1"/>
  <c r="R62" i="76"/>
  <c r="T62" i="76" s="1"/>
  <c r="U62" i="76" s="1"/>
  <c r="U64" i="72" s="1"/>
  <c r="Q74" i="126"/>
  <c r="S74" i="126" s="1"/>
  <c r="T74" i="126" s="1"/>
  <c r="P73" i="72" s="1"/>
  <c r="Q65" i="125"/>
  <c r="S65" i="125" s="1"/>
  <c r="T65" i="125" s="1"/>
  <c r="O64" i="72" s="1"/>
  <c r="AK64" i="72"/>
  <c r="Q48" i="129"/>
  <c r="S48" i="129" s="1"/>
  <c r="T48" i="129" s="1"/>
  <c r="S47" i="72" s="1"/>
  <c r="Q52" i="127"/>
  <c r="S52" i="127" s="1"/>
  <c r="T52" i="127" s="1"/>
  <c r="Q51" i="72" s="1"/>
  <c r="Q16" i="127"/>
  <c r="S16" i="127" s="1"/>
  <c r="T16" i="127" s="1"/>
  <c r="Q15" i="72" s="1"/>
  <c r="Q46" i="126"/>
  <c r="S46" i="126" s="1"/>
  <c r="T46" i="126" s="1"/>
  <c r="P45" i="72" s="1"/>
  <c r="AP45" i="72"/>
  <c r="Q46" i="131"/>
  <c r="S46" i="131" s="1"/>
  <c r="T46" i="131" s="1"/>
  <c r="T45" i="72" s="1"/>
  <c r="Q75" i="127"/>
  <c r="S75" i="127" s="1"/>
  <c r="T75" i="127" s="1"/>
  <c r="Q74" i="72" s="1"/>
  <c r="AM74" i="72"/>
  <c r="Q17" i="126"/>
  <c r="S17" i="126" s="1"/>
  <c r="T17" i="126" s="1"/>
  <c r="P16" i="72" s="1"/>
  <c r="AN71" i="72"/>
  <c r="AA75" i="72"/>
  <c r="M36" i="31"/>
  <c r="Q16" i="126"/>
  <c r="S16" i="126" s="1"/>
  <c r="T16" i="126" s="1"/>
  <c r="P15" i="72" s="1"/>
  <c r="Q60" i="127"/>
  <c r="S60" i="127" s="1"/>
  <c r="T60" i="127" s="1"/>
  <c r="Q59" i="72" s="1"/>
  <c r="Q31" i="125"/>
  <c r="S31" i="125" s="1"/>
  <c r="T31" i="125" s="1"/>
  <c r="O30" i="72" s="1"/>
  <c r="Q31" i="127"/>
  <c r="S31" i="127" s="1"/>
  <c r="T31" i="127" s="1"/>
  <c r="Q30" i="72" s="1"/>
  <c r="Q22" i="127"/>
  <c r="S22" i="127" s="1"/>
  <c r="T22" i="127" s="1"/>
  <c r="Q21" i="72" s="1"/>
  <c r="Q57" i="126"/>
  <c r="S57" i="126" s="1"/>
  <c r="T57" i="126" s="1"/>
  <c r="P56" i="72" s="1"/>
  <c r="Q71" i="126"/>
  <c r="S71" i="126" s="1"/>
  <c r="T71" i="126" s="1"/>
  <c r="P70" i="72" s="1"/>
  <c r="AL70" i="72"/>
  <c r="H28" i="33"/>
  <c r="G22" i="33"/>
  <c r="G66" i="33"/>
  <c r="H42" i="33"/>
  <c r="G62" i="33"/>
  <c r="Q18" i="46"/>
  <c r="N48" i="31"/>
  <c r="O48" i="31" s="1"/>
  <c r="P48" i="31" s="1"/>
  <c r="R48" i="31" s="1"/>
  <c r="S48" i="31" s="1"/>
  <c r="C19" i="46"/>
  <c r="Q29" i="128"/>
  <c r="S29" i="128" s="1"/>
  <c r="T29" i="128" s="1"/>
  <c r="R28" i="72" s="1"/>
  <c r="Q44" i="128"/>
  <c r="S44" i="128" s="1"/>
  <c r="T44" i="128" s="1"/>
  <c r="R43" i="72" s="1"/>
  <c r="AN72" i="72"/>
  <c r="Q73" i="128"/>
  <c r="S73" i="128" s="1"/>
  <c r="T73" i="128" s="1"/>
  <c r="R72" i="72" s="1"/>
  <c r="Q19" i="128"/>
  <c r="S19" i="128" s="1"/>
  <c r="T19" i="128" s="1"/>
  <c r="R18" i="72" s="1"/>
  <c r="AN18" i="72"/>
  <c r="Q40" i="128"/>
  <c r="S40" i="128" s="1"/>
  <c r="T40" i="128" s="1"/>
  <c r="R39" i="72" s="1"/>
  <c r="AN8" i="72"/>
  <c r="Q9" i="128"/>
  <c r="S9" i="128" s="1"/>
  <c r="T9" i="128" s="1"/>
  <c r="R8" i="72" s="1"/>
  <c r="Q20" i="128"/>
  <c r="S20" i="128" s="1"/>
  <c r="T20" i="128" s="1"/>
  <c r="R19" i="72" s="1"/>
  <c r="Q16" i="128"/>
  <c r="S16" i="128" s="1"/>
  <c r="T16" i="128" s="1"/>
  <c r="R15" i="72" s="1"/>
  <c r="G15" i="81"/>
  <c r="Q67" i="125"/>
  <c r="S67" i="125" s="1"/>
  <c r="T67" i="125" s="1"/>
  <c r="O66" i="72" s="1"/>
  <c r="AJ39" i="72"/>
  <c r="R19" i="76"/>
  <c r="T19" i="76" s="1"/>
  <c r="U19" i="76" s="1"/>
  <c r="U21" i="72" s="1"/>
  <c r="C35" i="1"/>
  <c r="I33" i="2" s="1"/>
  <c r="C59" i="1"/>
  <c r="I57" i="2" s="1"/>
  <c r="C64" i="1"/>
  <c r="I62" i="2" s="1"/>
  <c r="S57" i="117"/>
  <c r="U57" i="117" s="1"/>
  <c r="V57" i="117" s="1"/>
  <c r="K56" i="72" s="1"/>
  <c r="T17" i="46"/>
  <c r="U17" i="46" s="1"/>
  <c r="R12" i="76"/>
  <c r="T12" i="76" s="1"/>
  <c r="U12" i="76" s="1"/>
  <c r="U14" i="72" s="1"/>
  <c r="Q42" i="113"/>
  <c r="S42" i="113" s="1"/>
  <c r="T42" i="113" s="1"/>
  <c r="F41" i="72" s="1"/>
  <c r="AJ8" i="72"/>
  <c r="AD72" i="72"/>
  <c r="Q75" i="118"/>
  <c r="S75" i="118" s="1"/>
  <c r="T75" i="118" s="1"/>
  <c r="L74" i="72" s="1"/>
  <c r="AQ34" i="72"/>
  <c r="Q67" i="120"/>
  <c r="S67" i="120" s="1"/>
  <c r="T67" i="120" s="1"/>
  <c r="N66" i="72" s="1"/>
  <c r="Q35" i="118"/>
  <c r="S35" i="118" s="1"/>
  <c r="T35" i="118" s="1"/>
  <c r="L34" i="72" s="1"/>
  <c r="Q23" i="118"/>
  <c r="S23" i="118" s="1"/>
  <c r="T23" i="118" s="1"/>
  <c r="L22" i="72" s="1"/>
  <c r="R34" i="80"/>
  <c r="T34" i="80" s="1"/>
  <c r="U34" i="80" s="1"/>
  <c r="V36" i="72" s="1"/>
  <c r="Q52" i="113"/>
  <c r="S52" i="113" s="1"/>
  <c r="T52" i="113" s="1"/>
  <c r="F51" i="72" s="1"/>
  <c r="R24" i="76"/>
  <c r="T24" i="76" s="1"/>
  <c r="U24" i="76" s="1"/>
  <c r="U26" i="72" s="1"/>
  <c r="R52" i="76"/>
  <c r="T52" i="76" s="1"/>
  <c r="U52" i="76" s="1"/>
  <c r="U54" i="72" s="1"/>
  <c r="S33" i="117"/>
  <c r="U33" i="117" s="1"/>
  <c r="V33" i="117" s="1"/>
  <c r="K32" i="72" s="1"/>
  <c r="AI47" i="72"/>
  <c r="AR46" i="72"/>
  <c r="Q29" i="115"/>
  <c r="S29" i="115" s="1"/>
  <c r="T29" i="115" s="1"/>
  <c r="H28" i="72" s="1"/>
  <c r="AE21" i="72"/>
  <c r="AE60" i="72"/>
  <c r="R38" i="76"/>
  <c r="T38" i="76" s="1"/>
  <c r="U38" i="76" s="1"/>
  <c r="U40" i="72" s="1"/>
  <c r="AE62" i="72"/>
  <c r="Q10" i="116"/>
  <c r="S10" i="116" s="1"/>
  <c r="T10" i="116" s="1"/>
  <c r="I9" i="72" s="1"/>
  <c r="Q38" i="119"/>
  <c r="S38" i="119" s="1"/>
  <c r="T38" i="119" s="1"/>
  <c r="M37" i="72" s="1"/>
  <c r="AH60" i="72"/>
  <c r="AC19" i="72"/>
  <c r="AD47" i="72"/>
  <c r="AE23" i="72"/>
  <c r="Q44" i="116"/>
  <c r="S44" i="116" s="1"/>
  <c r="T44" i="116" s="1"/>
  <c r="I43" i="72" s="1"/>
  <c r="R46" i="80"/>
  <c r="T46" i="80" s="1"/>
  <c r="U46" i="80" s="1"/>
  <c r="V48" i="72" s="1"/>
  <c r="Q54" i="119"/>
  <c r="S54" i="119" s="1"/>
  <c r="T54" i="119" s="1"/>
  <c r="M53" i="72" s="1"/>
  <c r="Q36" i="116"/>
  <c r="S36" i="116" s="1"/>
  <c r="T36" i="116" s="1"/>
  <c r="I35" i="72" s="1"/>
  <c r="AH66" i="72"/>
  <c r="AF32" i="72"/>
  <c r="Q67" i="114"/>
  <c r="S67" i="114" s="1"/>
  <c r="T67" i="114" s="1"/>
  <c r="G66" i="72" s="1"/>
  <c r="Q22" i="118"/>
  <c r="S22" i="118" s="1"/>
  <c r="T22" i="118" s="1"/>
  <c r="L21" i="72" s="1"/>
  <c r="R62" i="80"/>
  <c r="T62" i="80" s="1"/>
  <c r="U62" i="80" s="1"/>
  <c r="V64" i="72" s="1"/>
  <c r="Q20" i="120"/>
  <c r="S20" i="120" s="1"/>
  <c r="T20" i="120" s="1"/>
  <c r="N19" i="72" s="1"/>
  <c r="Q46" i="118"/>
  <c r="S46" i="118" s="1"/>
  <c r="T46" i="118" s="1"/>
  <c r="L45" i="72" s="1"/>
  <c r="AH64" i="72"/>
  <c r="AR50" i="72"/>
  <c r="Q41" i="118"/>
  <c r="S41" i="118" s="1"/>
  <c r="T41" i="118" s="1"/>
  <c r="L40" i="72" s="1"/>
  <c r="AE67" i="72"/>
  <c r="Q19" i="120"/>
  <c r="S19" i="120" s="1"/>
  <c r="T19" i="120" s="1"/>
  <c r="N18" i="72" s="1"/>
  <c r="R44" i="76"/>
  <c r="T44" i="76" s="1"/>
  <c r="U44" i="76" s="1"/>
  <c r="U46" i="72" s="1"/>
  <c r="Q56" i="118"/>
  <c r="S56" i="118" s="1"/>
  <c r="T56" i="118" s="1"/>
  <c r="L55" i="72" s="1"/>
  <c r="S23" i="117"/>
  <c r="U23" i="117" s="1"/>
  <c r="V23" i="117" s="1"/>
  <c r="K22" i="72" s="1"/>
  <c r="AC8" i="72"/>
  <c r="Q18" i="114"/>
  <c r="S18" i="114" s="1"/>
  <c r="T18" i="114" s="1"/>
  <c r="G17" i="72" s="1"/>
  <c r="AD50" i="72"/>
  <c r="Q75" i="115"/>
  <c r="S75" i="115" s="1"/>
  <c r="T75" i="115" s="1"/>
  <c r="H74" i="72" s="1"/>
  <c r="AJ70" i="72"/>
  <c r="Q34" i="114"/>
  <c r="S34" i="114" s="1"/>
  <c r="T34" i="114" s="1"/>
  <c r="G33" i="72" s="1"/>
  <c r="R33" i="80"/>
  <c r="T33" i="80" s="1"/>
  <c r="U33" i="80" s="1"/>
  <c r="V35" i="72" s="1"/>
  <c r="Q21" i="118"/>
  <c r="S21" i="118" s="1"/>
  <c r="T21" i="118" s="1"/>
  <c r="L20" i="72" s="1"/>
  <c r="Q44" i="115"/>
  <c r="S44" i="115" s="1"/>
  <c r="T44" i="115" s="1"/>
  <c r="H43" i="72" s="1"/>
  <c r="AC45" i="72"/>
  <c r="Q23" i="113"/>
  <c r="S23" i="113" s="1"/>
  <c r="T23" i="113" s="1"/>
  <c r="F22" i="72" s="1"/>
  <c r="S29" i="117"/>
  <c r="U29" i="117" s="1"/>
  <c r="V29" i="117" s="1"/>
  <c r="K28" i="72" s="1"/>
  <c r="AI21" i="72"/>
  <c r="R11" i="80"/>
  <c r="T11" i="80" s="1"/>
  <c r="U11" i="80" s="1"/>
  <c r="V13" i="72" s="1"/>
  <c r="R65" i="76"/>
  <c r="T65" i="76" s="1"/>
  <c r="U65" i="76" s="1"/>
  <c r="U67" i="72" s="1"/>
  <c r="Q38" i="113"/>
  <c r="S38" i="113" s="1"/>
  <c r="T38" i="113" s="1"/>
  <c r="F37" i="72" s="1"/>
  <c r="R13" i="76"/>
  <c r="T13" i="76" s="1"/>
  <c r="U13" i="76" s="1"/>
  <c r="U15" i="72" s="1"/>
  <c r="S19" i="117"/>
  <c r="U19" i="117" s="1"/>
  <c r="V19" i="117" s="1"/>
  <c r="K18" i="72" s="1"/>
  <c r="R8" i="80"/>
  <c r="T8" i="80" s="1"/>
  <c r="U8" i="80" s="1"/>
  <c r="V10" i="72" s="1"/>
  <c r="Q60" i="113"/>
  <c r="S60" i="113" s="1"/>
  <c r="T60" i="113" s="1"/>
  <c r="F59" i="72" s="1"/>
  <c r="Q54" i="113"/>
  <c r="S54" i="113" s="1"/>
  <c r="T54" i="113" s="1"/>
  <c r="F53" i="72" s="1"/>
  <c r="S43" i="117"/>
  <c r="U43" i="117" s="1"/>
  <c r="V43" i="117" s="1"/>
  <c r="K42" i="72" s="1"/>
  <c r="Q31" i="118"/>
  <c r="S31" i="118" s="1"/>
  <c r="T31" i="118" s="1"/>
  <c r="L30" i="72" s="1"/>
  <c r="Q38" i="120"/>
  <c r="S38" i="120" s="1"/>
  <c r="T38" i="120" s="1"/>
  <c r="N37" i="72" s="1"/>
  <c r="C26" i="1"/>
  <c r="Q13" i="115"/>
  <c r="S13" i="115" s="1"/>
  <c r="T13" i="115" s="1"/>
  <c r="H12" i="72" s="1"/>
  <c r="Q18" i="116"/>
  <c r="S18" i="116" s="1"/>
  <c r="T18" i="116" s="1"/>
  <c r="I17" i="72" s="1"/>
  <c r="AD49" i="72"/>
  <c r="AJ47" i="72"/>
  <c r="Q11" i="119"/>
  <c r="S11" i="119" s="1"/>
  <c r="T11" i="119" s="1"/>
  <c r="M10" i="72" s="1"/>
  <c r="S70" i="117"/>
  <c r="U70" i="117" s="1"/>
  <c r="V70" i="117" s="1"/>
  <c r="K69" i="72" s="1"/>
  <c r="R21" i="80"/>
  <c r="T21" i="80" s="1"/>
  <c r="U21" i="80" s="1"/>
  <c r="V23" i="72" s="1"/>
  <c r="AQ24" i="72"/>
  <c r="Q70" i="114"/>
  <c r="S70" i="114" s="1"/>
  <c r="T70" i="114" s="1"/>
  <c r="G69" i="72" s="1"/>
  <c r="AF21" i="72"/>
  <c r="Q29" i="119"/>
  <c r="S29" i="119" s="1"/>
  <c r="T29" i="119" s="1"/>
  <c r="M28" i="72" s="1"/>
  <c r="Q66" i="119"/>
  <c r="S66" i="119" s="1"/>
  <c r="T66" i="119" s="1"/>
  <c r="M65" i="72" s="1"/>
  <c r="AC54" i="72"/>
  <c r="Q53" i="120"/>
  <c r="S53" i="120" s="1"/>
  <c r="T53" i="120" s="1"/>
  <c r="N52" i="72" s="1"/>
  <c r="Q70" i="2"/>
  <c r="Q71" i="115"/>
  <c r="S71" i="115" s="1"/>
  <c r="T71" i="115" s="1"/>
  <c r="H70" i="72" s="1"/>
  <c r="Q47" i="119"/>
  <c r="S47" i="119" s="1"/>
  <c r="T47" i="119" s="1"/>
  <c r="M46" i="72" s="1"/>
  <c r="Q71" i="118"/>
  <c r="S71" i="118" s="1"/>
  <c r="T71" i="118" s="1"/>
  <c r="L70" i="72" s="1"/>
  <c r="Q46" i="120"/>
  <c r="S46" i="120" s="1"/>
  <c r="T46" i="120" s="1"/>
  <c r="N45" i="72" s="1"/>
  <c r="R48" i="76"/>
  <c r="T48" i="76" s="1"/>
  <c r="U48" i="76" s="1"/>
  <c r="U50" i="72" s="1"/>
  <c r="R67" i="76"/>
  <c r="T67" i="76" s="1"/>
  <c r="U67" i="76" s="1"/>
  <c r="U69" i="72" s="1"/>
  <c r="S59" i="117"/>
  <c r="U59" i="117" s="1"/>
  <c r="V59" i="117" s="1"/>
  <c r="K58" i="72" s="1"/>
  <c r="Q70" i="118"/>
  <c r="S70" i="118" s="1"/>
  <c r="T70" i="118" s="1"/>
  <c r="L69" i="72" s="1"/>
  <c r="AR23" i="13"/>
  <c r="C63" i="1"/>
  <c r="I61" i="2" s="1"/>
  <c r="M22" i="67"/>
  <c r="N22" i="67" s="1"/>
  <c r="I21" i="2"/>
  <c r="C57" i="1"/>
  <c r="I55" i="2" s="1"/>
  <c r="Q61" i="2"/>
  <c r="M21" i="2"/>
  <c r="N21" i="2" s="1"/>
  <c r="Q58" i="2"/>
  <c r="L23" i="1"/>
  <c r="M23" i="1" s="1"/>
  <c r="N23" i="1" s="1"/>
  <c r="O23" i="1" s="1"/>
  <c r="P23" i="1" s="1"/>
  <c r="R23" i="1" s="1"/>
  <c r="C13" i="1"/>
  <c r="Q71" i="2"/>
  <c r="C73" i="1"/>
  <c r="I71" i="2" s="1"/>
  <c r="C62" i="1"/>
  <c r="L62" i="1" s="1"/>
  <c r="M62" i="1" s="1"/>
  <c r="N62" i="1" s="1"/>
  <c r="O62" i="1" s="1"/>
  <c r="P62" i="1" s="1"/>
  <c r="C29" i="1"/>
  <c r="I27" i="2" s="1"/>
  <c r="Q51" i="2"/>
  <c r="C53" i="1"/>
  <c r="Q24" i="113"/>
  <c r="S24" i="113" s="1"/>
  <c r="T24" i="113" s="1"/>
  <c r="F23" i="72" s="1"/>
  <c r="AG63" i="72"/>
  <c r="Q45" i="2"/>
  <c r="AG20" i="72"/>
  <c r="S37" i="117"/>
  <c r="U37" i="117" s="1"/>
  <c r="V37" i="117" s="1"/>
  <c r="K36" i="72" s="1"/>
  <c r="Q14" i="113"/>
  <c r="S14" i="113" s="1"/>
  <c r="T14" i="113" s="1"/>
  <c r="F13" i="72" s="1"/>
  <c r="Q7" i="116"/>
  <c r="S7" i="116" s="1"/>
  <c r="R20" i="80"/>
  <c r="T20" i="80" s="1"/>
  <c r="U20" i="80" s="1"/>
  <c r="V22" i="72" s="1"/>
  <c r="Q43" i="120"/>
  <c r="S43" i="120" s="1"/>
  <c r="T43" i="120" s="1"/>
  <c r="N42" i="72" s="1"/>
  <c r="AQ10" i="72"/>
  <c r="Q15" i="113"/>
  <c r="S15" i="113" s="1"/>
  <c r="T15" i="113" s="1"/>
  <c r="F14" i="72" s="1"/>
  <c r="AD42" i="72"/>
  <c r="Q8" i="116"/>
  <c r="S8" i="116" s="1"/>
  <c r="T8" i="116" s="1"/>
  <c r="I7" i="72" s="1"/>
  <c r="Q7" i="119"/>
  <c r="S7" i="119" s="1"/>
  <c r="T7" i="119" s="1"/>
  <c r="M6" i="72" s="1"/>
  <c r="AQ37" i="72"/>
  <c r="R72" i="76"/>
  <c r="T72" i="76" s="1"/>
  <c r="U72" i="76" s="1"/>
  <c r="U74" i="72" s="1"/>
  <c r="R59" i="80"/>
  <c r="T59" i="80" s="1"/>
  <c r="U59" i="80" s="1"/>
  <c r="V61" i="72" s="1"/>
  <c r="Q17" i="114"/>
  <c r="S17" i="114" s="1"/>
  <c r="T17" i="114" s="1"/>
  <c r="G16" i="72" s="1"/>
  <c r="AD8" i="72"/>
  <c r="AQ27" i="72"/>
  <c r="Q30" i="118"/>
  <c r="S30" i="118" s="1"/>
  <c r="T30" i="118" s="1"/>
  <c r="L29" i="72" s="1"/>
  <c r="C24" i="1"/>
  <c r="M23" i="67" s="1"/>
  <c r="N23" i="67" s="1"/>
  <c r="C37" i="1"/>
  <c r="AR37" i="13" s="1"/>
  <c r="Q43" i="2"/>
  <c r="C45" i="1"/>
  <c r="Q29" i="2"/>
  <c r="C31" i="1"/>
  <c r="Q19" i="2"/>
  <c r="C21" i="1"/>
  <c r="S78" i="136"/>
  <c r="R6" i="80"/>
  <c r="T6" i="80" s="1"/>
  <c r="U6" i="80" s="1"/>
  <c r="V8" i="72" s="1"/>
  <c r="Q37" i="116"/>
  <c r="S37" i="116" s="1"/>
  <c r="T37" i="116" s="1"/>
  <c r="I36" i="72" s="1"/>
  <c r="Q63" i="2"/>
  <c r="Q68" i="113"/>
  <c r="S68" i="113" s="1"/>
  <c r="T68" i="113" s="1"/>
  <c r="F67" i="72" s="1"/>
  <c r="Q17" i="113"/>
  <c r="S17" i="113" s="1"/>
  <c r="T17" i="113" s="1"/>
  <c r="F16" i="72" s="1"/>
  <c r="Q11" i="116"/>
  <c r="S11" i="116" s="1"/>
  <c r="T11" i="116" s="1"/>
  <c r="I10" i="72" s="1"/>
  <c r="AH7" i="72"/>
  <c r="Q29" i="120"/>
  <c r="S29" i="120" s="1"/>
  <c r="T29" i="120" s="1"/>
  <c r="N28" i="72" s="1"/>
  <c r="Q49" i="114"/>
  <c r="S49" i="114" s="1"/>
  <c r="T49" i="114" s="1"/>
  <c r="G48" i="72" s="1"/>
  <c r="Q9" i="116"/>
  <c r="S9" i="116" s="1"/>
  <c r="T9" i="116" s="1"/>
  <c r="I8" i="72" s="1"/>
  <c r="Q44" i="2"/>
  <c r="R66" i="80"/>
  <c r="T66" i="80" s="1"/>
  <c r="U66" i="80" s="1"/>
  <c r="V68" i="72" s="1"/>
  <c r="C11" i="1"/>
  <c r="AR11" i="13" s="1"/>
  <c r="Q35" i="2"/>
  <c r="Q44" i="120"/>
  <c r="S44" i="120" s="1"/>
  <c r="T44" i="120" s="1"/>
  <c r="N43" i="72" s="1"/>
  <c r="L72" i="1"/>
  <c r="M72" i="1" s="1"/>
  <c r="N72" i="1" s="1"/>
  <c r="O72" i="1" s="1"/>
  <c r="P72" i="1" s="1"/>
  <c r="R72" i="1" s="1"/>
  <c r="AB72" i="1" s="1"/>
  <c r="M71" i="67"/>
  <c r="N71" i="67" s="1"/>
  <c r="M70" i="2"/>
  <c r="N70" i="2" s="1"/>
  <c r="AR72" i="13"/>
  <c r="I70" i="2"/>
  <c r="Q50" i="2"/>
  <c r="C52" i="1"/>
  <c r="Q19" i="116"/>
  <c r="S19" i="116" s="1"/>
  <c r="T19" i="116" s="1"/>
  <c r="I18" i="72" s="1"/>
  <c r="AF18" i="72"/>
  <c r="AE72" i="72"/>
  <c r="Q73" i="115"/>
  <c r="S73" i="115" s="1"/>
  <c r="T73" i="115" s="1"/>
  <c r="H72" i="72" s="1"/>
  <c r="AD51" i="72"/>
  <c r="Q52" i="114"/>
  <c r="S52" i="114" s="1"/>
  <c r="T52" i="114" s="1"/>
  <c r="G51" i="72" s="1"/>
  <c r="AG47" i="72"/>
  <c r="S48" i="117"/>
  <c r="U48" i="117" s="1"/>
  <c r="V48" i="117" s="1"/>
  <c r="K47" i="72" s="1"/>
  <c r="AF16" i="72"/>
  <c r="Q17" i="116"/>
  <c r="S17" i="116" s="1"/>
  <c r="T17" i="116" s="1"/>
  <c r="I16" i="72" s="1"/>
  <c r="AD29" i="72"/>
  <c r="Q30" i="114"/>
  <c r="S30" i="114" s="1"/>
  <c r="T30" i="114" s="1"/>
  <c r="G29" i="72" s="1"/>
  <c r="AR31" i="72"/>
  <c r="R29" i="80"/>
  <c r="T29" i="80" s="1"/>
  <c r="U29" i="80" s="1"/>
  <c r="V31" i="72" s="1"/>
  <c r="Q72" i="118"/>
  <c r="S72" i="118" s="1"/>
  <c r="T72" i="118" s="1"/>
  <c r="L71" i="72" s="1"/>
  <c r="Q60" i="120"/>
  <c r="S60" i="120" s="1"/>
  <c r="T60" i="120" s="1"/>
  <c r="N59" i="72" s="1"/>
  <c r="AG19" i="72"/>
  <c r="AF24" i="72"/>
  <c r="Q25" i="116"/>
  <c r="S25" i="116" s="1"/>
  <c r="T25" i="116" s="1"/>
  <c r="I24" i="72" s="1"/>
  <c r="AR7" i="72"/>
  <c r="R5" i="80"/>
  <c r="T5" i="80" s="1"/>
  <c r="U5" i="80" s="1"/>
  <c r="V7" i="72" s="1"/>
  <c r="AR69" i="72"/>
  <c r="R67" i="80"/>
  <c r="T67" i="80" s="1"/>
  <c r="U67" i="80" s="1"/>
  <c r="V69" i="72" s="1"/>
  <c r="AQ42" i="72"/>
  <c r="R40" i="76"/>
  <c r="T40" i="76" s="1"/>
  <c r="U40" i="76" s="1"/>
  <c r="U42" i="72" s="1"/>
  <c r="AH33" i="72"/>
  <c r="Q34" i="118"/>
  <c r="S34" i="118" s="1"/>
  <c r="T34" i="118" s="1"/>
  <c r="L33" i="72" s="1"/>
  <c r="AF68" i="72"/>
  <c r="Q69" i="116"/>
  <c r="S69" i="116" s="1"/>
  <c r="T69" i="116" s="1"/>
  <c r="I68" i="72" s="1"/>
  <c r="AD26" i="72"/>
  <c r="Q27" i="114"/>
  <c r="S27" i="114" s="1"/>
  <c r="T27" i="114" s="1"/>
  <c r="G26" i="72" s="1"/>
  <c r="AE11" i="72"/>
  <c r="Q12" i="115"/>
  <c r="S12" i="115" s="1"/>
  <c r="T12" i="115" s="1"/>
  <c r="H11" i="72" s="1"/>
  <c r="S35" i="117"/>
  <c r="U35" i="117" s="1"/>
  <c r="V35" i="117" s="1"/>
  <c r="K34" i="72" s="1"/>
  <c r="AF42" i="72"/>
  <c r="Q43" i="116"/>
  <c r="S43" i="116" s="1"/>
  <c r="T43" i="116" s="1"/>
  <c r="I42" i="72" s="1"/>
  <c r="AR37" i="72"/>
  <c r="R35" i="80"/>
  <c r="T35" i="80" s="1"/>
  <c r="U35" i="80" s="1"/>
  <c r="V37" i="72" s="1"/>
  <c r="R45" i="80"/>
  <c r="T45" i="80" s="1"/>
  <c r="U45" i="80" s="1"/>
  <c r="V47" i="72" s="1"/>
  <c r="AR47" i="72"/>
  <c r="AF56" i="72"/>
  <c r="Q57" i="116"/>
  <c r="S57" i="116" s="1"/>
  <c r="T57" i="116" s="1"/>
  <c r="I56" i="72" s="1"/>
  <c r="Q44" i="119"/>
  <c r="S44" i="119" s="1"/>
  <c r="T44" i="119" s="1"/>
  <c r="M43" i="72" s="1"/>
  <c r="Q22" i="2"/>
  <c r="C33" i="1"/>
  <c r="Q31" i="2"/>
  <c r="C51" i="1"/>
  <c r="Q49" i="2"/>
  <c r="M33" i="2"/>
  <c r="N33" i="2" s="1"/>
  <c r="M45" i="2"/>
  <c r="N45" i="2" s="1"/>
  <c r="AR47" i="13"/>
  <c r="AF78" i="136"/>
  <c r="Q64" i="115"/>
  <c r="S64" i="115" s="1"/>
  <c r="T64" i="115" s="1"/>
  <c r="H63" i="72" s="1"/>
  <c r="AH56" i="72"/>
  <c r="Q74" i="119"/>
  <c r="S74" i="119" s="1"/>
  <c r="T74" i="119" s="1"/>
  <c r="M73" i="72" s="1"/>
  <c r="AH17" i="72"/>
  <c r="AI13" i="72"/>
  <c r="AH27" i="72"/>
  <c r="Q62" i="120"/>
  <c r="S62" i="120" s="1"/>
  <c r="T62" i="120" s="1"/>
  <c r="N61" i="72" s="1"/>
  <c r="Q12" i="119"/>
  <c r="S12" i="119" s="1"/>
  <c r="T12" i="119" s="1"/>
  <c r="M11" i="72" s="1"/>
  <c r="Q66" i="114"/>
  <c r="S66" i="114" s="1"/>
  <c r="T66" i="114" s="1"/>
  <c r="G65" i="72" s="1"/>
  <c r="R17" i="76"/>
  <c r="T17" i="76" s="1"/>
  <c r="U17" i="76" s="1"/>
  <c r="U19" i="72" s="1"/>
  <c r="AR58" i="72"/>
  <c r="AD64" i="72"/>
  <c r="Q69" i="119"/>
  <c r="S69" i="119" s="1"/>
  <c r="T69" i="119" s="1"/>
  <c r="M68" i="72" s="1"/>
  <c r="Q48" i="115"/>
  <c r="S48" i="115" s="1"/>
  <c r="T48" i="115" s="1"/>
  <c r="H47" i="72" s="1"/>
  <c r="Q14" i="2"/>
  <c r="Q32" i="119"/>
  <c r="S32" i="119" s="1"/>
  <c r="T32" i="119" s="1"/>
  <c r="M31" i="72" s="1"/>
  <c r="S49" i="117"/>
  <c r="U49" i="117" s="1"/>
  <c r="V49" i="117" s="1"/>
  <c r="K48" i="72" s="1"/>
  <c r="Q57" i="120"/>
  <c r="S57" i="120" s="1"/>
  <c r="T57" i="120" s="1"/>
  <c r="N56" i="72" s="1"/>
  <c r="L35" i="1"/>
  <c r="M35" i="1" s="1"/>
  <c r="N35" i="1" s="1"/>
  <c r="O35" i="1" s="1"/>
  <c r="P35" i="1" s="1"/>
  <c r="C19" i="1"/>
  <c r="Q17" i="2"/>
  <c r="C49" i="1"/>
  <c r="Q47" i="2"/>
  <c r="C43" i="1"/>
  <c r="Q7" i="2"/>
  <c r="C9" i="1"/>
  <c r="Q13" i="2"/>
  <c r="C15" i="1"/>
  <c r="C12" i="1"/>
  <c r="Q10" i="2"/>
  <c r="Q18" i="2"/>
  <c r="C20" i="1"/>
  <c r="C32" i="1"/>
  <c r="Q30" i="2"/>
  <c r="Q46" i="2"/>
  <c r="C48" i="1"/>
  <c r="Q66" i="2"/>
  <c r="C68" i="1"/>
  <c r="C40" i="1"/>
  <c r="Q38" i="2"/>
  <c r="Q32" i="2"/>
  <c r="C34" i="1"/>
  <c r="Q8" i="2"/>
  <c r="C10" i="1"/>
  <c r="Q16" i="2"/>
  <c r="C18" i="1"/>
  <c r="Q28" i="2"/>
  <c r="C30" i="1"/>
  <c r="Q40" i="2"/>
  <c r="C42" i="1"/>
  <c r="C50" i="1"/>
  <c r="Q48" i="2"/>
  <c r="C58" i="1"/>
  <c r="Q56" i="2"/>
  <c r="Q72" i="2"/>
  <c r="C74" i="1"/>
  <c r="M58" i="67"/>
  <c r="N58" i="67" s="1"/>
  <c r="M57" i="2"/>
  <c r="N57" i="2" s="1"/>
  <c r="L59" i="1"/>
  <c r="M59" i="1" s="1"/>
  <c r="N59" i="1" s="1"/>
  <c r="O59" i="1" s="1"/>
  <c r="P59" i="1" s="1"/>
  <c r="AR59" i="13"/>
  <c r="Q55" i="114"/>
  <c r="S55" i="114" s="1"/>
  <c r="T55" i="114" s="1"/>
  <c r="G54" i="72" s="1"/>
  <c r="C17" i="1"/>
  <c r="Q15" i="2"/>
  <c r="C27" i="1"/>
  <c r="Q25" i="2"/>
  <c r="C41" i="1"/>
  <c r="Q39" i="2"/>
  <c r="Q69" i="2"/>
  <c r="C71" i="1"/>
  <c r="Q26" i="2"/>
  <c r="C28" i="1"/>
  <c r="C44" i="1"/>
  <c r="Q42" i="2"/>
  <c r="Q54" i="2"/>
  <c r="C56" i="1"/>
  <c r="Q74" i="2"/>
  <c r="C76" i="1"/>
  <c r="Q12" i="2"/>
  <c r="C14" i="1"/>
  <c r="Q20" i="2"/>
  <c r="C22" i="1"/>
  <c r="Q36" i="2"/>
  <c r="C38" i="1"/>
  <c r="C54" i="1"/>
  <c r="Q52" i="2"/>
  <c r="Q64" i="2"/>
  <c r="C66" i="1"/>
  <c r="Q60" i="119"/>
  <c r="S60" i="119" s="1"/>
  <c r="T60" i="119" s="1"/>
  <c r="M59" i="72" s="1"/>
  <c r="Q40" i="113"/>
  <c r="S40" i="113" s="1"/>
  <c r="T40" i="113" s="1"/>
  <c r="F39" i="72" s="1"/>
  <c r="C16" i="1"/>
  <c r="I14" i="2" s="1"/>
  <c r="Q53" i="2"/>
  <c r="C55" i="1"/>
  <c r="Q59" i="2"/>
  <c r="C61" i="1"/>
  <c r="M62" i="2"/>
  <c r="N62" i="2" s="1"/>
  <c r="M63" i="67"/>
  <c r="N63" i="67" s="1"/>
  <c r="L64" i="1"/>
  <c r="M64" i="1" s="1"/>
  <c r="N64" i="1" s="1"/>
  <c r="O64" i="1" s="1"/>
  <c r="P64" i="1" s="1"/>
  <c r="R64" i="1" s="1"/>
  <c r="AR64" i="13"/>
  <c r="L60" i="1"/>
  <c r="M60" i="1" s="1"/>
  <c r="N60" i="1" s="1"/>
  <c r="O60" i="1" s="1"/>
  <c r="P60" i="1" s="1"/>
  <c r="M58" i="2"/>
  <c r="N58" i="2" s="1"/>
  <c r="M59" i="67"/>
  <c r="N59" i="67" s="1"/>
  <c r="AR60" i="13"/>
  <c r="AJ67" i="72"/>
  <c r="AC69" i="72"/>
  <c r="Q41" i="115"/>
  <c r="S41" i="115" s="1"/>
  <c r="T41" i="115" s="1"/>
  <c r="H40" i="72" s="1"/>
  <c r="Q50" i="115"/>
  <c r="S50" i="115" s="1"/>
  <c r="T50" i="115" s="1"/>
  <c r="H49" i="72" s="1"/>
  <c r="AE61" i="72"/>
  <c r="AE27" i="72"/>
  <c r="AG24" i="72"/>
  <c r="R10" i="76"/>
  <c r="T10" i="76" s="1"/>
  <c r="U10" i="76" s="1"/>
  <c r="U12" i="72" s="1"/>
  <c r="Q45" i="120"/>
  <c r="S45" i="120" s="1"/>
  <c r="T45" i="120" s="1"/>
  <c r="N44" i="72" s="1"/>
  <c r="S71" i="117"/>
  <c r="U71" i="117" s="1"/>
  <c r="V71" i="117" s="1"/>
  <c r="K70" i="72" s="1"/>
  <c r="I45" i="2"/>
  <c r="M46" i="67"/>
  <c r="N46" i="67" s="1"/>
  <c r="C67" i="1"/>
  <c r="Q65" i="2"/>
  <c r="Q67" i="2"/>
  <c r="C69" i="1"/>
  <c r="Q23" i="2"/>
  <c r="C25" i="1"/>
  <c r="Q37" i="2"/>
  <c r="C39" i="1"/>
  <c r="Q6" i="2"/>
  <c r="C8" i="1"/>
  <c r="C36" i="1"/>
  <c r="Q34" i="2"/>
  <c r="L63" i="1"/>
  <c r="M63" i="1" s="1"/>
  <c r="N63" i="1" s="1"/>
  <c r="O63" i="1" s="1"/>
  <c r="P63" i="1" s="1"/>
  <c r="M74" i="67"/>
  <c r="N74" i="67" s="1"/>
  <c r="M73" i="2"/>
  <c r="N73" i="2" s="1"/>
  <c r="L75" i="1"/>
  <c r="M75" i="1" s="1"/>
  <c r="N75" i="1" s="1"/>
  <c r="O75" i="1" s="1"/>
  <c r="P75" i="1" s="1"/>
  <c r="AR75" i="13"/>
  <c r="I73" i="2"/>
  <c r="C70" i="1"/>
  <c r="Q68" i="2"/>
  <c r="M64" i="67"/>
  <c r="N64" i="67" s="1"/>
  <c r="L65" i="1"/>
  <c r="M65" i="1" s="1"/>
  <c r="N65" i="1" s="1"/>
  <c r="O65" i="1" s="1"/>
  <c r="P65" i="1" s="1"/>
  <c r="AR65" i="13"/>
  <c r="M63" i="2"/>
  <c r="N63" i="2" s="1"/>
  <c r="Q40" i="116"/>
  <c r="S40" i="116" s="1"/>
  <c r="T40" i="116" s="1"/>
  <c r="I39" i="72" s="1"/>
  <c r="Q10" i="119"/>
  <c r="S10" i="119" s="1"/>
  <c r="T10" i="119" s="1"/>
  <c r="M9" i="72" s="1"/>
  <c r="AF65" i="72"/>
  <c r="Q66" i="116"/>
  <c r="S66" i="116" s="1"/>
  <c r="T66" i="116" s="1"/>
  <c r="I65" i="72" s="1"/>
  <c r="Q29" i="114"/>
  <c r="S29" i="114" s="1"/>
  <c r="T29" i="114" s="1"/>
  <c r="G28" i="72" s="1"/>
  <c r="AD28" i="72"/>
  <c r="AH63" i="72"/>
  <c r="Q33" i="113"/>
  <c r="S33" i="113" s="1"/>
  <c r="T33" i="113" s="1"/>
  <c r="F32" i="72" s="1"/>
  <c r="AC25" i="72"/>
  <c r="Q51" i="113"/>
  <c r="S51" i="113" s="1"/>
  <c r="T51" i="113" s="1"/>
  <c r="F50" i="72" s="1"/>
  <c r="AI7" i="72"/>
  <c r="AD36" i="72"/>
  <c r="AQ30" i="72"/>
  <c r="Q43" i="115"/>
  <c r="S43" i="115" s="1"/>
  <c r="T43" i="115" s="1"/>
  <c r="H42" i="72" s="1"/>
  <c r="AE69" i="72"/>
  <c r="Q34" i="116"/>
  <c r="S34" i="116" s="1"/>
  <c r="T34" i="116" s="1"/>
  <c r="I33" i="72" s="1"/>
  <c r="Q63" i="116"/>
  <c r="S63" i="116" s="1"/>
  <c r="T63" i="116" s="1"/>
  <c r="I62" i="72" s="1"/>
  <c r="AC26" i="72"/>
  <c r="AJ46" i="72"/>
  <c r="AD31" i="72"/>
  <c r="Q15" i="114"/>
  <c r="S15" i="114" s="1"/>
  <c r="T15" i="114" s="1"/>
  <c r="G14" i="72" s="1"/>
  <c r="Q41" i="113"/>
  <c r="S41" i="113" s="1"/>
  <c r="T41" i="113" s="1"/>
  <c r="F40" i="72" s="1"/>
  <c r="Q42" i="114"/>
  <c r="S42" i="114" s="1"/>
  <c r="T42" i="114" s="1"/>
  <c r="G41" i="72" s="1"/>
  <c r="R15" i="76"/>
  <c r="T15" i="76" s="1"/>
  <c r="U15" i="76" s="1"/>
  <c r="U17" i="72" s="1"/>
  <c r="R42" i="80"/>
  <c r="T42" i="80" s="1"/>
  <c r="U42" i="80" s="1"/>
  <c r="V44" i="72" s="1"/>
  <c r="AD58" i="72"/>
  <c r="Q13" i="120"/>
  <c r="S13" i="120" s="1"/>
  <c r="T13" i="120" s="1"/>
  <c r="N12" i="72" s="1"/>
  <c r="Q56" i="113"/>
  <c r="S56" i="113" s="1"/>
  <c r="T56" i="113" s="1"/>
  <c r="F55" i="72" s="1"/>
  <c r="AE32" i="72"/>
  <c r="Q29" i="118"/>
  <c r="S29" i="118" s="1"/>
  <c r="T29" i="118" s="1"/>
  <c r="L28" i="72" s="1"/>
  <c r="Q13" i="119"/>
  <c r="S13" i="119" s="1"/>
  <c r="T13" i="119" s="1"/>
  <c r="M12" i="72" s="1"/>
  <c r="Q39" i="119"/>
  <c r="S39" i="119" s="1"/>
  <c r="T39" i="119" s="1"/>
  <c r="M38" i="72" s="1"/>
  <c r="Q67" i="119"/>
  <c r="S67" i="119" s="1"/>
  <c r="T67" i="119" s="1"/>
  <c r="M66" i="72" s="1"/>
  <c r="Q72" i="120"/>
  <c r="S72" i="120" s="1"/>
  <c r="T72" i="120" s="1"/>
  <c r="N71" i="72" s="1"/>
  <c r="R20" i="76"/>
  <c r="T20" i="76" s="1"/>
  <c r="U20" i="76" s="1"/>
  <c r="U22" i="72" s="1"/>
  <c r="AR72" i="72"/>
  <c r="Q51" i="120"/>
  <c r="S51" i="120" s="1"/>
  <c r="T51" i="120" s="1"/>
  <c r="N50" i="72" s="1"/>
  <c r="Q32" i="113"/>
  <c r="S32" i="113" s="1"/>
  <c r="T32" i="113" s="1"/>
  <c r="F31" i="72" s="1"/>
  <c r="R13" i="80"/>
  <c r="T13" i="80" s="1"/>
  <c r="U13" i="80" s="1"/>
  <c r="V15" i="72" s="1"/>
  <c r="AG43" i="72"/>
  <c r="Q22" i="120"/>
  <c r="S22" i="120" s="1"/>
  <c r="T22" i="120" s="1"/>
  <c r="N21" i="72" s="1"/>
  <c r="Q42" i="120"/>
  <c r="S42" i="120" s="1"/>
  <c r="T42" i="120" s="1"/>
  <c r="N41" i="72" s="1"/>
  <c r="AQ56" i="72"/>
  <c r="AQ36" i="72"/>
  <c r="AJ24" i="72"/>
  <c r="Q25" i="120"/>
  <c r="S25" i="120" s="1"/>
  <c r="T25" i="120" s="1"/>
  <c r="N24" i="72" s="1"/>
  <c r="Q20" i="116"/>
  <c r="S20" i="116" s="1"/>
  <c r="T20" i="116" s="1"/>
  <c r="I19" i="72" s="1"/>
  <c r="AF19" i="72"/>
  <c r="AH26" i="72"/>
  <c r="Q27" i="118"/>
  <c r="S27" i="118" s="1"/>
  <c r="T27" i="118" s="1"/>
  <c r="L26" i="72" s="1"/>
  <c r="AE48" i="72"/>
  <c r="R19" i="80"/>
  <c r="T19" i="80" s="1"/>
  <c r="U19" i="80" s="1"/>
  <c r="V21" i="72" s="1"/>
  <c r="Q74" i="115"/>
  <c r="S74" i="115" s="1"/>
  <c r="T74" i="115" s="1"/>
  <c r="H73" i="72" s="1"/>
  <c r="R39" i="80"/>
  <c r="T39" i="80" s="1"/>
  <c r="U39" i="80" s="1"/>
  <c r="V41" i="72" s="1"/>
  <c r="Q21" i="115"/>
  <c r="S21" i="115" s="1"/>
  <c r="T21" i="115" s="1"/>
  <c r="H20" i="72" s="1"/>
  <c r="Q16" i="118"/>
  <c r="S16" i="118" s="1"/>
  <c r="T16" i="118" s="1"/>
  <c r="L15" i="72" s="1"/>
  <c r="R63" i="80"/>
  <c r="T63" i="80" s="1"/>
  <c r="U63" i="80" s="1"/>
  <c r="V65" i="72" s="1"/>
  <c r="Q44" i="114"/>
  <c r="S44" i="114" s="1"/>
  <c r="T44" i="114" s="1"/>
  <c r="G43" i="72" s="1"/>
  <c r="Q40" i="115"/>
  <c r="S40" i="115" s="1"/>
  <c r="T40" i="115" s="1"/>
  <c r="H39" i="72" s="1"/>
  <c r="Q28" i="120"/>
  <c r="S28" i="120" s="1"/>
  <c r="T28" i="120" s="1"/>
  <c r="N27" i="72" s="1"/>
  <c r="R66" i="76"/>
  <c r="T66" i="76" s="1"/>
  <c r="U66" i="76" s="1"/>
  <c r="U68" i="72" s="1"/>
  <c r="R5" i="76"/>
  <c r="T5" i="76" s="1"/>
  <c r="U5" i="76" s="1"/>
  <c r="U7" i="72" s="1"/>
  <c r="AE6" i="72"/>
  <c r="Q51" i="118"/>
  <c r="S51" i="118" s="1"/>
  <c r="T51" i="118" s="1"/>
  <c r="L50" i="72" s="1"/>
  <c r="Q57" i="115"/>
  <c r="S57" i="115" s="1"/>
  <c r="T57" i="115" s="1"/>
  <c r="H56" i="72" s="1"/>
  <c r="S42" i="117"/>
  <c r="U42" i="117" s="1"/>
  <c r="V42" i="117" s="1"/>
  <c r="K41" i="72" s="1"/>
  <c r="Q23" i="116"/>
  <c r="S23" i="116" s="1"/>
  <c r="T23" i="116" s="1"/>
  <c r="I22" i="72" s="1"/>
  <c r="Q59" i="113"/>
  <c r="S59" i="113" s="1"/>
  <c r="T59" i="113" s="1"/>
  <c r="F58" i="72" s="1"/>
  <c r="S41" i="117"/>
  <c r="U41" i="117" s="1"/>
  <c r="V41" i="117" s="1"/>
  <c r="K40" i="72" s="1"/>
  <c r="Q37" i="118"/>
  <c r="S37" i="118" s="1"/>
  <c r="T37" i="118" s="1"/>
  <c r="L36" i="72" s="1"/>
  <c r="S17" i="117"/>
  <c r="U17" i="117" s="1"/>
  <c r="V17" i="117" s="1"/>
  <c r="K16" i="72" s="1"/>
  <c r="H75" i="2"/>
  <c r="E46" i="81" s="1"/>
  <c r="Q36" i="126"/>
  <c r="S36" i="126" s="1"/>
  <c r="T36" i="126" s="1"/>
  <c r="P35" i="72" s="1"/>
  <c r="Q24" i="131"/>
  <c r="S24" i="131" s="1"/>
  <c r="T24" i="131" s="1"/>
  <c r="T23" i="72" s="1"/>
  <c r="Q64" i="128"/>
  <c r="S64" i="128" s="1"/>
  <c r="T64" i="128" s="1"/>
  <c r="R63" i="72" s="1"/>
  <c r="Q36" i="131"/>
  <c r="S36" i="131" s="1"/>
  <c r="T36" i="131" s="1"/>
  <c r="T35" i="72" s="1"/>
  <c r="Q20" i="131"/>
  <c r="S20" i="131" s="1"/>
  <c r="T20" i="131" s="1"/>
  <c r="T19" i="72" s="1"/>
  <c r="Q60" i="114"/>
  <c r="S60" i="114" s="1"/>
  <c r="T60" i="114" s="1"/>
  <c r="G59" i="72" s="1"/>
  <c r="Q73" i="131"/>
  <c r="S73" i="131" s="1"/>
  <c r="T73" i="131" s="1"/>
  <c r="T72" i="72" s="1"/>
  <c r="Q29" i="125"/>
  <c r="S29" i="125" s="1"/>
  <c r="T29" i="125" s="1"/>
  <c r="O28" i="72" s="1"/>
  <c r="Q15" i="127"/>
  <c r="S15" i="127" s="1"/>
  <c r="T15" i="127" s="1"/>
  <c r="Q14" i="72" s="1"/>
  <c r="Q18" i="127"/>
  <c r="S18" i="127" s="1"/>
  <c r="T18" i="127" s="1"/>
  <c r="Q17" i="72" s="1"/>
  <c r="Q30" i="128"/>
  <c r="S30" i="128" s="1"/>
  <c r="T30" i="128" s="1"/>
  <c r="R29" i="72" s="1"/>
  <c r="Q26" i="128"/>
  <c r="S26" i="128" s="1"/>
  <c r="T26" i="128" s="1"/>
  <c r="R25" i="72" s="1"/>
  <c r="Q42" i="131"/>
  <c r="S42" i="131" s="1"/>
  <c r="T42" i="131" s="1"/>
  <c r="T41" i="72" s="1"/>
  <c r="Q34" i="131"/>
  <c r="S34" i="131" s="1"/>
  <c r="T34" i="131" s="1"/>
  <c r="T33" i="72" s="1"/>
  <c r="M45" i="67"/>
  <c r="N45" i="67" s="1"/>
  <c r="M44" i="2"/>
  <c r="N44" i="2" s="1"/>
  <c r="I44" i="2"/>
  <c r="L46" i="1"/>
  <c r="M46" i="1" s="1"/>
  <c r="N46" i="1" s="1"/>
  <c r="O46" i="1" s="1"/>
  <c r="P46" i="1" s="1"/>
  <c r="AR46" i="13"/>
  <c r="Q63" i="129"/>
  <c r="S63" i="129" s="1"/>
  <c r="T63" i="129" s="1"/>
  <c r="S62" i="72" s="1"/>
  <c r="AO62" i="72"/>
  <c r="Q25" i="125"/>
  <c r="S25" i="125" s="1"/>
  <c r="T25" i="125" s="1"/>
  <c r="O24" i="72" s="1"/>
  <c r="Q69" i="131"/>
  <c r="S69" i="131" s="1"/>
  <c r="T69" i="131" s="1"/>
  <c r="T68" i="72" s="1"/>
  <c r="Q13" i="131"/>
  <c r="S13" i="131" s="1"/>
  <c r="T13" i="131" s="1"/>
  <c r="T12" i="72" s="1"/>
  <c r="AP12" i="72"/>
  <c r="AH65" i="72"/>
  <c r="Q66" i="118"/>
  <c r="S66" i="118" s="1"/>
  <c r="T66" i="118" s="1"/>
  <c r="L65" i="72" s="1"/>
  <c r="Q27" i="115"/>
  <c r="S27" i="115" s="1"/>
  <c r="T27" i="115" s="1"/>
  <c r="H26" i="72" s="1"/>
  <c r="Q53" i="115"/>
  <c r="S53" i="115" s="1"/>
  <c r="T53" i="115" s="1"/>
  <c r="H52" i="72" s="1"/>
  <c r="Q58" i="115"/>
  <c r="S58" i="115" s="1"/>
  <c r="T58" i="115" s="1"/>
  <c r="H57" i="72" s="1"/>
  <c r="Q38" i="115"/>
  <c r="S38" i="115" s="1"/>
  <c r="T38" i="115" s="1"/>
  <c r="H37" i="72" s="1"/>
  <c r="R32" i="80"/>
  <c r="T32" i="80" s="1"/>
  <c r="U32" i="80" s="1"/>
  <c r="V34" i="72" s="1"/>
  <c r="R22" i="80"/>
  <c r="T22" i="80" s="1"/>
  <c r="U22" i="80" s="1"/>
  <c r="V24" i="72" s="1"/>
  <c r="H44" i="33"/>
  <c r="H9" i="33"/>
  <c r="H57" i="33"/>
  <c r="G12" i="33"/>
  <c r="G54" i="33"/>
  <c r="H14" i="33"/>
  <c r="Q18" i="126"/>
  <c r="S18" i="126" s="1"/>
  <c r="T18" i="126" s="1"/>
  <c r="P17" i="72" s="1"/>
  <c r="Q70" i="127"/>
  <c r="S70" i="127" s="1"/>
  <c r="T70" i="127" s="1"/>
  <c r="Q69" i="72" s="1"/>
  <c r="AK8" i="72"/>
  <c r="Q9" i="125"/>
  <c r="S9" i="125" s="1"/>
  <c r="T9" i="125" s="1"/>
  <c r="O8" i="72" s="1"/>
  <c r="G38" i="46"/>
  <c r="G19" i="46"/>
  <c r="Q8" i="115"/>
  <c r="S8" i="115" s="1"/>
  <c r="R60" i="76"/>
  <c r="T60" i="76" s="1"/>
  <c r="U60" i="76" s="1"/>
  <c r="U62" i="72" s="1"/>
  <c r="Q58" i="120"/>
  <c r="S58" i="120" s="1"/>
  <c r="T58" i="120" s="1"/>
  <c r="N57" i="72" s="1"/>
  <c r="G73" i="33"/>
  <c r="G65" i="33"/>
  <c r="G17" i="33"/>
  <c r="N12" i="31"/>
  <c r="M51" i="31"/>
  <c r="O51" i="31" s="1"/>
  <c r="P51" i="31" s="1"/>
  <c r="R51" i="31" s="1"/>
  <c r="S51" i="31" s="1"/>
  <c r="Q69" i="113"/>
  <c r="S69" i="113" s="1"/>
  <c r="T69" i="113" s="1"/>
  <c r="F68" i="72" s="1"/>
  <c r="Q69" i="120"/>
  <c r="S69" i="120" s="1"/>
  <c r="T69" i="120" s="1"/>
  <c r="N68" i="72" s="1"/>
  <c r="Q37" i="120"/>
  <c r="S37" i="120" s="1"/>
  <c r="T37" i="120" s="1"/>
  <c r="N36" i="72" s="1"/>
  <c r="Q66" i="120"/>
  <c r="S66" i="120" s="1"/>
  <c r="T66" i="120" s="1"/>
  <c r="N65" i="72" s="1"/>
  <c r="R31" i="76"/>
  <c r="T31" i="76" s="1"/>
  <c r="U31" i="76" s="1"/>
  <c r="U33" i="72" s="1"/>
  <c r="R10" i="80"/>
  <c r="T10" i="80" s="1"/>
  <c r="U10" i="80" s="1"/>
  <c r="V12" i="72" s="1"/>
  <c r="Q73" i="125"/>
  <c r="S73" i="125" s="1"/>
  <c r="T73" i="125" s="1"/>
  <c r="O72" i="72" s="1"/>
  <c r="Q68" i="126"/>
  <c r="S68" i="126" s="1"/>
  <c r="T68" i="126" s="1"/>
  <c r="P67" i="72" s="1"/>
  <c r="Q64" i="127"/>
  <c r="S64" i="127" s="1"/>
  <c r="T64" i="127" s="1"/>
  <c r="Q63" i="72" s="1"/>
  <c r="Q40" i="127"/>
  <c r="S40" i="127" s="1"/>
  <c r="T40" i="127" s="1"/>
  <c r="Q39" i="72" s="1"/>
  <c r="Q8" i="127"/>
  <c r="S8" i="127" s="1"/>
  <c r="T8" i="127" s="1"/>
  <c r="Q7" i="72" s="1"/>
  <c r="Q60" i="131"/>
  <c r="S60" i="131" s="1"/>
  <c r="T60" i="131" s="1"/>
  <c r="T59" i="72" s="1"/>
  <c r="Q56" i="131"/>
  <c r="S56" i="131" s="1"/>
  <c r="T56" i="131" s="1"/>
  <c r="T55" i="72" s="1"/>
  <c r="Q40" i="131"/>
  <c r="S40" i="131" s="1"/>
  <c r="T40" i="131" s="1"/>
  <c r="T39" i="72" s="1"/>
  <c r="Q72" i="125"/>
  <c r="S72" i="125" s="1"/>
  <c r="T72" i="125" s="1"/>
  <c r="O71" i="72" s="1"/>
  <c r="Q59" i="119"/>
  <c r="S59" i="119" s="1"/>
  <c r="T59" i="119" s="1"/>
  <c r="M58" i="72" s="1"/>
  <c r="Q8" i="129"/>
  <c r="S8" i="129" s="1"/>
  <c r="T8" i="129" s="1"/>
  <c r="S7" i="72" s="1"/>
  <c r="Q33" i="120"/>
  <c r="S33" i="120" s="1"/>
  <c r="T33" i="120" s="1"/>
  <c r="N32" i="72" s="1"/>
  <c r="S12" i="117"/>
  <c r="U12" i="117" s="1"/>
  <c r="V12" i="117" s="1"/>
  <c r="K11" i="72" s="1"/>
  <c r="Q28" i="127"/>
  <c r="S28" i="127" s="1"/>
  <c r="T28" i="127" s="1"/>
  <c r="Q27" i="72" s="1"/>
  <c r="Q36" i="128"/>
  <c r="S36" i="128" s="1"/>
  <c r="T36" i="128" s="1"/>
  <c r="R35" i="72" s="1"/>
  <c r="Q60" i="129"/>
  <c r="S60" i="129" s="1"/>
  <c r="T60" i="129" s="1"/>
  <c r="S59" i="72" s="1"/>
  <c r="Q60" i="125"/>
  <c r="S60" i="125" s="1"/>
  <c r="T60" i="125" s="1"/>
  <c r="O59" i="72" s="1"/>
  <c r="Q52" i="125"/>
  <c r="S52" i="125" s="1"/>
  <c r="T52" i="125" s="1"/>
  <c r="O51" i="72" s="1"/>
  <c r="Q40" i="125"/>
  <c r="S40" i="125" s="1"/>
  <c r="T40" i="125" s="1"/>
  <c r="O39" i="72" s="1"/>
  <c r="Q25" i="115"/>
  <c r="S25" i="115" s="1"/>
  <c r="T25" i="115" s="1"/>
  <c r="H24" i="72" s="1"/>
  <c r="Q35" i="116"/>
  <c r="S35" i="116" s="1"/>
  <c r="T35" i="116" s="1"/>
  <c r="I34" i="72" s="1"/>
  <c r="Q27" i="116"/>
  <c r="S27" i="116" s="1"/>
  <c r="T27" i="116" s="1"/>
  <c r="I26" i="72" s="1"/>
  <c r="Q8" i="114"/>
  <c r="S8" i="114" s="1"/>
  <c r="T8" i="114" s="1"/>
  <c r="G7" i="72" s="1"/>
  <c r="Q61" i="113"/>
  <c r="S61" i="113" s="1"/>
  <c r="T61" i="113" s="1"/>
  <c r="F60" i="72" s="1"/>
  <c r="Q42" i="119"/>
  <c r="S42" i="119" s="1"/>
  <c r="T42" i="119" s="1"/>
  <c r="M41" i="72" s="1"/>
  <c r="R61" i="80"/>
  <c r="T61" i="80" s="1"/>
  <c r="U61" i="80" s="1"/>
  <c r="V63" i="72" s="1"/>
  <c r="R59" i="76"/>
  <c r="T59" i="76" s="1"/>
  <c r="U59" i="76" s="1"/>
  <c r="U61" i="72" s="1"/>
  <c r="R31" i="80"/>
  <c r="T31" i="80" s="1"/>
  <c r="U31" i="80" s="1"/>
  <c r="V33" i="72" s="1"/>
  <c r="R15" i="80"/>
  <c r="T15" i="80" s="1"/>
  <c r="U15" i="80" s="1"/>
  <c r="V17" i="72" s="1"/>
  <c r="Q12" i="118"/>
  <c r="S12" i="118" s="1"/>
  <c r="T12" i="118" s="1"/>
  <c r="L11" i="72" s="1"/>
  <c r="Q40" i="114"/>
  <c r="S40" i="114" s="1"/>
  <c r="T40" i="114" s="1"/>
  <c r="G39" i="72" s="1"/>
  <c r="Q16" i="114"/>
  <c r="S16" i="114" s="1"/>
  <c r="T16" i="114" s="1"/>
  <c r="G15" i="72" s="1"/>
  <c r="AK49" i="72"/>
  <c r="Q50" i="125"/>
  <c r="S50" i="125" s="1"/>
  <c r="T50" i="125" s="1"/>
  <c r="O49" i="72" s="1"/>
  <c r="Q70" i="129"/>
  <c r="S70" i="129" s="1"/>
  <c r="T70" i="129" s="1"/>
  <c r="S69" i="72" s="1"/>
  <c r="AO69" i="72"/>
  <c r="Q57" i="129"/>
  <c r="S57" i="129" s="1"/>
  <c r="T57" i="129" s="1"/>
  <c r="S56" i="72" s="1"/>
  <c r="Q62" i="128"/>
  <c r="S62" i="128" s="1"/>
  <c r="T62" i="128" s="1"/>
  <c r="R61" i="72" s="1"/>
  <c r="Q18" i="131"/>
  <c r="S18" i="131" s="1"/>
  <c r="T18" i="131" s="1"/>
  <c r="T17" i="72" s="1"/>
  <c r="Q34" i="128"/>
  <c r="S34" i="128" s="1"/>
  <c r="T34" i="128" s="1"/>
  <c r="R33" i="72" s="1"/>
  <c r="Q13" i="127"/>
  <c r="S13" i="127" s="1"/>
  <c r="T13" i="127" s="1"/>
  <c r="Q12" i="72" s="1"/>
  <c r="Q33" i="126"/>
  <c r="S33" i="126" s="1"/>
  <c r="T33" i="126" s="1"/>
  <c r="P32" i="72" s="1"/>
  <c r="Q37" i="131"/>
  <c r="S37" i="131" s="1"/>
  <c r="T37" i="131" s="1"/>
  <c r="T36" i="72" s="1"/>
  <c r="Q65" i="127"/>
  <c r="S65" i="127" s="1"/>
  <c r="T65" i="127" s="1"/>
  <c r="Q64" i="72" s="1"/>
  <c r="Q7" i="128"/>
  <c r="S7" i="128" s="1"/>
  <c r="T7" i="128" s="1"/>
  <c r="R6" i="72" s="1"/>
  <c r="AL72" i="72"/>
  <c r="Q73" i="126"/>
  <c r="S73" i="126" s="1"/>
  <c r="T73" i="126" s="1"/>
  <c r="P72" i="72" s="1"/>
  <c r="Q19" i="125"/>
  <c r="S19" i="125" s="1"/>
  <c r="T19" i="125" s="1"/>
  <c r="O18" i="72" s="1"/>
  <c r="Q7" i="125"/>
  <c r="S7" i="125" s="1"/>
  <c r="Q38" i="114"/>
  <c r="S38" i="114" s="1"/>
  <c r="T38" i="114" s="1"/>
  <c r="G37" i="72" s="1"/>
  <c r="U35" i="46"/>
  <c r="W35" i="46" s="1"/>
  <c r="X35" i="46" s="1"/>
  <c r="D51" i="72" s="1"/>
  <c r="D51" i="100"/>
  <c r="AR62" i="72"/>
  <c r="R60" i="80"/>
  <c r="T60" i="80" s="1"/>
  <c r="U60" i="80" s="1"/>
  <c r="V62" i="72" s="1"/>
  <c r="R33" i="76"/>
  <c r="T33" i="76" s="1"/>
  <c r="U33" i="76" s="1"/>
  <c r="U35" i="72" s="1"/>
  <c r="Q14" i="128"/>
  <c r="S14" i="128" s="1"/>
  <c r="T14" i="128" s="1"/>
  <c r="R13" i="72" s="1"/>
  <c r="Q22" i="129"/>
  <c r="S22" i="129" s="1"/>
  <c r="T22" i="129" s="1"/>
  <c r="S21" i="72" s="1"/>
  <c r="Q26" i="131"/>
  <c r="S26" i="131" s="1"/>
  <c r="T26" i="131" s="1"/>
  <c r="T25" i="72" s="1"/>
  <c r="Q70" i="125"/>
  <c r="S70" i="125" s="1"/>
  <c r="T70" i="125" s="1"/>
  <c r="O69" i="72" s="1"/>
  <c r="Q62" i="125"/>
  <c r="S62" i="125" s="1"/>
  <c r="T62" i="125" s="1"/>
  <c r="O61" i="72" s="1"/>
  <c r="Q54" i="125"/>
  <c r="S54" i="125" s="1"/>
  <c r="T54" i="125" s="1"/>
  <c r="O53" i="72" s="1"/>
  <c r="AK53" i="72"/>
  <c r="Q14" i="125"/>
  <c r="S14" i="125" s="1"/>
  <c r="T14" i="125" s="1"/>
  <c r="O13" i="72" s="1"/>
  <c r="Q12" i="120"/>
  <c r="S12" i="120" s="1"/>
  <c r="T12" i="120" s="1"/>
  <c r="N11" i="72" s="1"/>
  <c r="Q65" i="119"/>
  <c r="S65" i="119" s="1"/>
  <c r="T65" i="119" s="1"/>
  <c r="M64" i="72" s="1"/>
  <c r="Q61" i="119"/>
  <c r="S61" i="119" s="1"/>
  <c r="T61" i="119" s="1"/>
  <c r="M60" i="72" s="1"/>
  <c r="Q9" i="119"/>
  <c r="S9" i="119" s="1"/>
  <c r="T9" i="119" s="1"/>
  <c r="M8" i="72" s="1"/>
  <c r="S56" i="117"/>
  <c r="U56" i="117" s="1"/>
  <c r="V56" i="117" s="1"/>
  <c r="K55" i="72" s="1"/>
  <c r="S8" i="117"/>
  <c r="U8" i="117" s="1"/>
  <c r="V8" i="117" s="1"/>
  <c r="K7" i="72" s="1"/>
  <c r="Q59" i="116"/>
  <c r="S59" i="116" s="1"/>
  <c r="T59" i="116" s="1"/>
  <c r="I58" i="72" s="1"/>
  <c r="AO54" i="72"/>
  <c r="Q55" i="129"/>
  <c r="S55" i="129" s="1"/>
  <c r="T55" i="129" s="1"/>
  <c r="S54" i="72" s="1"/>
  <c r="Q9" i="126"/>
  <c r="S9" i="126" s="1"/>
  <c r="T9" i="126" s="1"/>
  <c r="P8" i="72" s="1"/>
  <c r="AL8" i="72"/>
  <c r="Q30" i="127"/>
  <c r="S30" i="127" s="1"/>
  <c r="T30" i="127" s="1"/>
  <c r="Q29" i="72" s="1"/>
  <c r="AM29" i="72"/>
  <c r="AN24" i="72"/>
  <c r="Q25" i="128"/>
  <c r="S25" i="128" s="1"/>
  <c r="T25" i="128" s="1"/>
  <c r="R24" i="72" s="1"/>
  <c r="Q10" i="125"/>
  <c r="S10" i="125" s="1"/>
  <c r="T10" i="125" s="1"/>
  <c r="O9" i="72" s="1"/>
  <c r="AK9" i="72"/>
  <c r="Q33" i="125"/>
  <c r="S33" i="125" s="1"/>
  <c r="T33" i="125" s="1"/>
  <c r="O32" i="72" s="1"/>
  <c r="AK32" i="72"/>
  <c r="Q27" i="127"/>
  <c r="S27" i="127" s="1"/>
  <c r="T27" i="127" s="1"/>
  <c r="Q26" i="72" s="1"/>
  <c r="AM26" i="72"/>
  <c r="AP28" i="72"/>
  <c r="Q29" i="131"/>
  <c r="S29" i="131" s="1"/>
  <c r="T29" i="131" s="1"/>
  <c r="T28" i="72" s="1"/>
  <c r="AP8" i="72"/>
  <c r="Q9" i="131"/>
  <c r="S9" i="131" s="1"/>
  <c r="T9" i="131" s="1"/>
  <c r="T8" i="72" s="1"/>
  <c r="AP69" i="72"/>
  <c r="Q70" i="131"/>
  <c r="S70" i="131" s="1"/>
  <c r="T70" i="131" s="1"/>
  <c r="T69" i="72" s="1"/>
  <c r="AL38" i="72"/>
  <c r="Q39" i="126"/>
  <c r="S39" i="126" s="1"/>
  <c r="T39" i="126" s="1"/>
  <c r="P38" i="72" s="1"/>
  <c r="AG26" i="72"/>
  <c r="S27" i="117"/>
  <c r="U27" i="117" s="1"/>
  <c r="V27" i="117" s="1"/>
  <c r="K26" i="72" s="1"/>
  <c r="Q31" i="115"/>
  <c r="S31" i="115" s="1"/>
  <c r="T31" i="115" s="1"/>
  <c r="H30" i="72" s="1"/>
  <c r="R50" i="76"/>
  <c r="T50" i="76" s="1"/>
  <c r="U50" i="76" s="1"/>
  <c r="U52" i="72" s="1"/>
  <c r="AQ52" i="72"/>
  <c r="AR32" i="72"/>
  <c r="R30" i="80"/>
  <c r="T30" i="80" s="1"/>
  <c r="U30" i="80" s="1"/>
  <c r="V32" i="72" s="1"/>
  <c r="AR54" i="72"/>
  <c r="R52" i="80"/>
  <c r="T52" i="80" s="1"/>
  <c r="U52" i="80" s="1"/>
  <c r="V54" i="72" s="1"/>
  <c r="Q30" i="126"/>
  <c r="S30" i="126" s="1"/>
  <c r="T30" i="126" s="1"/>
  <c r="P29" i="72" s="1"/>
  <c r="Q62" i="131"/>
  <c r="S62" i="131" s="1"/>
  <c r="T62" i="131" s="1"/>
  <c r="T61" i="72" s="1"/>
  <c r="AP61" i="72"/>
  <c r="Q58" i="125"/>
  <c r="S58" i="125" s="1"/>
  <c r="T58" i="125" s="1"/>
  <c r="O57" i="72" s="1"/>
  <c r="Q33" i="119"/>
  <c r="S33" i="119" s="1"/>
  <c r="T33" i="119" s="1"/>
  <c r="M32" i="72" s="1"/>
  <c r="AI32" i="72"/>
  <c r="Q21" i="125"/>
  <c r="S21" i="125" s="1"/>
  <c r="T21" i="125" s="1"/>
  <c r="O20" i="72" s="1"/>
  <c r="Q63" i="113"/>
  <c r="S63" i="113" s="1"/>
  <c r="T63" i="113" s="1"/>
  <c r="F62" i="72" s="1"/>
  <c r="Q64" i="114"/>
  <c r="S64" i="114" s="1"/>
  <c r="T64" i="114" s="1"/>
  <c r="G63" i="72" s="1"/>
  <c r="Q21" i="119"/>
  <c r="S21" i="119" s="1"/>
  <c r="T21" i="119" s="1"/>
  <c r="M20" i="72" s="1"/>
  <c r="R39" i="76"/>
  <c r="T39" i="76" s="1"/>
  <c r="U39" i="76" s="1"/>
  <c r="U41" i="72" s="1"/>
  <c r="R12" i="80"/>
  <c r="T12" i="80" s="1"/>
  <c r="U12" i="80" s="1"/>
  <c r="V14" i="72" s="1"/>
  <c r="R7" i="80"/>
  <c r="T7" i="80" s="1"/>
  <c r="U7" i="80" s="1"/>
  <c r="V9" i="72" s="1"/>
  <c r="Q14" i="129"/>
  <c r="S14" i="129" s="1"/>
  <c r="T14" i="129" s="1"/>
  <c r="S13" i="72" s="1"/>
  <c r="AO13" i="72"/>
  <c r="AP44" i="72"/>
  <c r="Q45" i="131"/>
  <c r="S45" i="131" s="1"/>
  <c r="T45" i="131" s="1"/>
  <c r="T44" i="72" s="1"/>
  <c r="Q66" i="125"/>
  <c r="S66" i="125" s="1"/>
  <c r="T66" i="125" s="1"/>
  <c r="O65" i="72" s="1"/>
  <c r="Q48" i="127"/>
  <c r="S48" i="127" s="1"/>
  <c r="T48" i="127" s="1"/>
  <c r="Q47" i="72" s="1"/>
  <c r="Q56" i="128"/>
  <c r="S56" i="128" s="1"/>
  <c r="T56" i="128" s="1"/>
  <c r="R55" i="72" s="1"/>
  <c r="Q48" i="128"/>
  <c r="S48" i="128" s="1"/>
  <c r="T48" i="128" s="1"/>
  <c r="R47" i="72" s="1"/>
  <c r="Q16" i="131"/>
  <c r="S16" i="131" s="1"/>
  <c r="T16" i="131" s="1"/>
  <c r="T15" i="72" s="1"/>
  <c r="Q20" i="125"/>
  <c r="S20" i="125" s="1"/>
  <c r="T20" i="125" s="1"/>
  <c r="O19" i="72" s="1"/>
  <c r="AK19" i="72"/>
  <c r="AI44" i="72"/>
  <c r="Q45" i="119"/>
  <c r="S45" i="119" s="1"/>
  <c r="T45" i="119" s="1"/>
  <c r="M44" i="72" s="1"/>
  <c r="Q10" i="120"/>
  <c r="S10" i="120" s="1"/>
  <c r="T10" i="120" s="1"/>
  <c r="N9" i="72" s="1"/>
  <c r="Q24" i="126"/>
  <c r="S24" i="126" s="1"/>
  <c r="T24" i="126" s="1"/>
  <c r="P23" i="72" s="1"/>
  <c r="Q20" i="127"/>
  <c r="S20" i="127" s="1"/>
  <c r="T20" i="127" s="1"/>
  <c r="Q19" i="72" s="1"/>
  <c r="Q8" i="128"/>
  <c r="S8" i="128" s="1"/>
  <c r="T8" i="128" s="1"/>
  <c r="R7" i="72" s="1"/>
  <c r="Q52" i="129"/>
  <c r="S52" i="129" s="1"/>
  <c r="T52" i="129" s="1"/>
  <c r="S51" i="72" s="1"/>
  <c r="Q12" i="131"/>
  <c r="S12" i="131" s="1"/>
  <c r="T12" i="131" s="1"/>
  <c r="T11" i="72" s="1"/>
  <c r="R17" i="80"/>
  <c r="T17" i="80" s="1"/>
  <c r="U17" i="80" s="1"/>
  <c r="V19" i="72" s="1"/>
  <c r="S54" i="117"/>
  <c r="U54" i="117" s="1"/>
  <c r="V54" i="117" s="1"/>
  <c r="K53" i="72" s="1"/>
  <c r="AG53" i="72"/>
  <c r="S30" i="117"/>
  <c r="U30" i="117" s="1"/>
  <c r="V30" i="117" s="1"/>
  <c r="K29" i="72" s="1"/>
  <c r="Q72" i="114"/>
  <c r="S72" i="114" s="1"/>
  <c r="T72" i="114" s="1"/>
  <c r="G71" i="72" s="1"/>
  <c r="Q56" i="114"/>
  <c r="S56" i="114" s="1"/>
  <c r="T56" i="114" s="1"/>
  <c r="G55" i="72" s="1"/>
  <c r="Q20" i="114"/>
  <c r="S20" i="114" s="1"/>
  <c r="T20" i="114" s="1"/>
  <c r="G19" i="72" s="1"/>
  <c r="Q49" i="113"/>
  <c r="S49" i="113" s="1"/>
  <c r="T49" i="113" s="1"/>
  <c r="F48" i="72" s="1"/>
  <c r="AC48" i="72"/>
  <c r="Q55" i="116"/>
  <c r="S55" i="116" s="1"/>
  <c r="T55" i="116" s="1"/>
  <c r="I54" i="72" s="1"/>
  <c r="Q51" i="119"/>
  <c r="S51" i="119" s="1"/>
  <c r="T51" i="119" s="1"/>
  <c r="M50" i="72" s="1"/>
  <c r="R69" i="80"/>
  <c r="T69" i="80" s="1"/>
  <c r="U69" i="80" s="1"/>
  <c r="V71" i="72" s="1"/>
  <c r="AI27" i="72"/>
  <c r="Q28" i="119"/>
  <c r="S28" i="119" s="1"/>
  <c r="T28" i="119" s="1"/>
  <c r="M27" i="72" s="1"/>
  <c r="Q19" i="119"/>
  <c r="S19" i="119" s="1"/>
  <c r="T19" i="119" s="1"/>
  <c r="M18" i="72" s="1"/>
  <c r="Q60" i="118"/>
  <c r="S60" i="118" s="1"/>
  <c r="T60" i="118" s="1"/>
  <c r="L59" i="72" s="1"/>
  <c r="Q45" i="115"/>
  <c r="S45" i="115" s="1"/>
  <c r="T45" i="115" s="1"/>
  <c r="H44" i="72" s="1"/>
  <c r="Q9" i="115"/>
  <c r="S9" i="115" s="1"/>
  <c r="T9" i="115" s="1"/>
  <c r="H8" i="72" s="1"/>
  <c r="AG65" i="72"/>
  <c r="S66" i="117"/>
  <c r="U66" i="117" s="1"/>
  <c r="V66" i="117" s="1"/>
  <c r="K65" i="72" s="1"/>
  <c r="Q68" i="114"/>
  <c r="S68" i="114" s="1"/>
  <c r="T68" i="114" s="1"/>
  <c r="G67" i="72" s="1"/>
  <c r="Q10" i="118"/>
  <c r="S10" i="118" s="1"/>
  <c r="T10" i="118" s="1"/>
  <c r="L9" i="72" s="1"/>
  <c r="AO34" i="72"/>
  <c r="Q35" i="129"/>
  <c r="S35" i="129" s="1"/>
  <c r="T35" i="129" s="1"/>
  <c r="S34" i="72" s="1"/>
  <c r="AM16" i="72"/>
  <c r="Q17" i="127"/>
  <c r="S17" i="127" s="1"/>
  <c r="T17" i="127" s="1"/>
  <c r="Q16" i="72" s="1"/>
  <c r="AK45" i="72"/>
  <c r="Q46" i="125"/>
  <c r="S46" i="125" s="1"/>
  <c r="T46" i="125" s="1"/>
  <c r="O45" i="72" s="1"/>
  <c r="Q33" i="114"/>
  <c r="S33" i="114" s="1"/>
  <c r="T33" i="114" s="1"/>
  <c r="G32" i="72" s="1"/>
  <c r="AD32" i="72"/>
  <c r="Q53" i="119"/>
  <c r="S53" i="119" s="1"/>
  <c r="T53" i="119" s="1"/>
  <c r="M52" i="72" s="1"/>
  <c r="Q28" i="126"/>
  <c r="S28" i="126" s="1"/>
  <c r="T28" i="126" s="1"/>
  <c r="P27" i="72" s="1"/>
  <c r="AL27" i="72"/>
  <c r="Q11" i="114"/>
  <c r="S11" i="114" s="1"/>
  <c r="T11" i="114" s="1"/>
  <c r="G10" i="72" s="1"/>
  <c r="AD10" i="72"/>
  <c r="Q31" i="113"/>
  <c r="S31" i="113" s="1"/>
  <c r="T31" i="113" s="1"/>
  <c r="F30" i="72" s="1"/>
  <c r="Q18" i="120"/>
  <c r="S18" i="120" s="1"/>
  <c r="T18" i="120" s="1"/>
  <c r="N17" i="72" s="1"/>
  <c r="Q52" i="128"/>
  <c r="S52" i="128" s="1"/>
  <c r="T52" i="128" s="1"/>
  <c r="R51" i="72" s="1"/>
  <c r="Q52" i="131"/>
  <c r="S52" i="131" s="1"/>
  <c r="T52" i="131" s="1"/>
  <c r="T51" i="72" s="1"/>
  <c r="Q36" i="118"/>
  <c r="S36" i="118" s="1"/>
  <c r="T36" i="118" s="1"/>
  <c r="L35" i="72" s="1"/>
  <c r="Q28" i="114"/>
  <c r="S28" i="114" s="1"/>
  <c r="T28" i="114" s="1"/>
  <c r="G27" i="72" s="1"/>
  <c r="AF73" i="72"/>
  <c r="Q74" i="116"/>
  <c r="S74" i="116" s="1"/>
  <c r="T74" i="116" s="1"/>
  <c r="I73" i="72" s="1"/>
  <c r="R23" i="80"/>
  <c r="T23" i="80" s="1"/>
  <c r="U23" i="80" s="1"/>
  <c r="V25" i="72" s="1"/>
  <c r="Q20" i="118"/>
  <c r="S20" i="118" s="1"/>
  <c r="T20" i="118" s="1"/>
  <c r="L19" i="72" s="1"/>
  <c r="S58" i="117"/>
  <c r="U58" i="117" s="1"/>
  <c r="V58" i="117" s="1"/>
  <c r="K57" i="72" s="1"/>
  <c r="S14" i="117"/>
  <c r="U14" i="117" s="1"/>
  <c r="V14" i="117" s="1"/>
  <c r="K13" i="72" s="1"/>
  <c r="Q31" i="116"/>
  <c r="S31" i="116" s="1"/>
  <c r="T31" i="116" s="1"/>
  <c r="I30" i="72" s="1"/>
  <c r="S55" i="117"/>
  <c r="U55" i="117" s="1"/>
  <c r="V55" i="117" s="1"/>
  <c r="K54" i="72" s="1"/>
  <c r="Q14" i="131"/>
  <c r="S14" i="131" s="1"/>
  <c r="T14" i="131" s="1"/>
  <c r="T13" i="72" s="1"/>
  <c r="Q39" i="113"/>
  <c r="S39" i="113" s="1"/>
  <c r="T39" i="113" s="1"/>
  <c r="F38" i="72" s="1"/>
  <c r="Q73" i="119"/>
  <c r="S73" i="119" s="1"/>
  <c r="T73" i="119" s="1"/>
  <c r="M72" i="72" s="1"/>
  <c r="R46" i="76"/>
  <c r="T46" i="76" s="1"/>
  <c r="U46" i="76" s="1"/>
  <c r="U48" i="72" s="1"/>
  <c r="R69" i="76"/>
  <c r="T69" i="76" s="1"/>
  <c r="U69" i="76" s="1"/>
  <c r="U71" i="72" s="1"/>
  <c r="N34" i="31"/>
  <c r="O34" i="31" s="1"/>
  <c r="P34" i="31" s="1"/>
  <c r="R34" i="31" s="1"/>
  <c r="S34" i="31" s="1"/>
  <c r="Q54" i="116"/>
  <c r="S54" i="116" s="1"/>
  <c r="T54" i="116" s="1"/>
  <c r="I53" i="72" s="1"/>
  <c r="Q70" i="119"/>
  <c r="S70" i="119" s="1"/>
  <c r="T70" i="119" s="1"/>
  <c r="M69" i="72" s="1"/>
  <c r="R58" i="76"/>
  <c r="T58" i="76" s="1"/>
  <c r="U58" i="76" s="1"/>
  <c r="U60" i="72" s="1"/>
  <c r="R50" i="80"/>
  <c r="T50" i="80" s="1"/>
  <c r="U50" i="80" s="1"/>
  <c r="V52" i="72" s="1"/>
  <c r="Q41" i="131"/>
  <c r="S41" i="131" s="1"/>
  <c r="T41" i="131" s="1"/>
  <c r="T40" i="72" s="1"/>
  <c r="AP40" i="72"/>
  <c r="AN32" i="72"/>
  <c r="Q33" i="128"/>
  <c r="S33" i="128" s="1"/>
  <c r="T33" i="128" s="1"/>
  <c r="R32" i="72" s="1"/>
  <c r="AN58" i="72"/>
  <c r="Q59" i="128"/>
  <c r="S59" i="128" s="1"/>
  <c r="T59" i="128" s="1"/>
  <c r="R58" i="72" s="1"/>
  <c r="Q43" i="113"/>
  <c r="S43" i="113" s="1"/>
  <c r="T43" i="113" s="1"/>
  <c r="F42" i="72" s="1"/>
  <c r="AC42" i="72"/>
  <c r="AH16" i="72"/>
  <c r="Q17" i="118"/>
  <c r="S17" i="118" s="1"/>
  <c r="T17" i="118" s="1"/>
  <c r="L16" i="72" s="1"/>
  <c r="Q40" i="126"/>
  <c r="S40" i="126" s="1"/>
  <c r="T40" i="126" s="1"/>
  <c r="P39" i="72" s="1"/>
  <c r="Q20" i="126"/>
  <c r="S20" i="126" s="1"/>
  <c r="T20" i="126" s="1"/>
  <c r="P19" i="72" s="1"/>
  <c r="Q56" i="127"/>
  <c r="S56" i="127" s="1"/>
  <c r="T56" i="127" s="1"/>
  <c r="Q55" i="72" s="1"/>
  <c r="Q60" i="128"/>
  <c r="S60" i="128" s="1"/>
  <c r="T60" i="128" s="1"/>
  <c r="R59" i="72" s="1"/>
  <c r="AN59" i="72"/>
  <c r="Q72" i="129"/>
  <c r="S72" i="129" s="1"/>
  <c r="T72" i="129" s="1"/>
  <c r="S71" i="72" s="1"/>
  <c r="Q12" i="129"/>
  <c r="S12" i="129" s="1"/>
  <c r="T12" i="129" s="1"/>
  <c r="S11" i="72" s="1"/>
  <c r="Q32" i="131"/>
  <c r="S32" i="131" s="1"/>
  <c r="T32" i="131" s="1"/>
  <c r="T31" i="72" s="1"/>
  <c r="Q64" i="125"/>
  <c r="S64" i="125" s="1"/>
  <c r="T64" i="125" s="1"/>
  <c r="O63" i="72" s="1"/>
  <c r="Q28" i="125"/>
  <c r="S28" i="125" s="1"/>
  <c r="T28" i="125" s="1"/>
  <c r="O27" i="72" s="1"/>
  <c r="Q12" i="125"/>
  <c r="S12" i="125" s="1"/>
  <c r="T12" i="125" s="1"/>
  <c r="O11" i="72" s="1"/>
  <c r="Q52" i="126"/>
  <c r="S52" i="126" s="1"/>
  <c r="T52" i="126" s="1"/>
  <c r="P51" i="72" s="1"/>
  <c r="Q8" i="126"/>
  <c r="S8" i="126" s="1"/>
  <c r="T8" i="126" s="1"/>
  <c r="P7" i="72" s="1"/>
  <c r="Q68" i="127"/>
  <c r="S68" i="127" s="1"/>
  <c r="T68" i="127" s="1"/>
  <c r="Q67" i="72" s="1"/>
  <c r="Q36" i="127"/>
  <c r="S36" i="127" s="1"/>
  <c r="T36" i="127" s="1"/>
  <c r="Q35" i="72" s="1"/>
  <c r="Q24" i="128"/>
  <c r="S24" i="128" s="1"/>
  <c r="T24" i="128" s="1"/>
  <c r="R23" i="72" s="1"/>
  <c r="Q28" i="129"/>
  <c r="S28" i="129" s="1"/>
  <c r="T28" i="129" s="1"/>
  <c r="S27" i="72" s="1"/>
  <c r="Q16" i="129"/>
  <c r="S16" i="129" s="1"/>
  <c r="T16" i="129" s="1"/>
  <c r="S15" i="72" s="1"/>
  <c r="Q64" i="131"/>
  <c r="S64" i="131" s="1"/>
  <c r="T64" i="131" s="1"/>
  <c r="T63" i="72" s="1"/>
  <c r="Q32" i="125"/>
  <c r="S32" i="125" s="1"/>
  <c r="T32" i="125" s="1"/>
  <c r="O31" i="72" s="1"/>
  <c r="AG33" i="72"/>
  <c r="S34" i="117"/>
  <c r="U34" i="117" s="1"/>
  <c r="V34" i="117" s="1"/>
  <c r="K33" i="72" s="1"/>
  <c r="AQ45" i="72"/>
  <c r="R43" i="76"/>
  <c r="T43" i="76" s="1"/>
  <c r="U43" i="76" s="1"/>
  <c r="U45" i="72" s="1"/>
  <c r="R11" i="76"/>
  <c r="T11" i="76" s="1"/>
  <c r="U11" i="76" s="1"/>
  <c r="U13" i="72" s="1"/>
  <c r="AQ13" i="72"/>
  <c r="Q30" i="120"/>
  <c r="S30" i="120" s="1"/>
  <c r="T30" i="120" s="1"/>
  <c r="N29" i="72" s="1"/>
  <c r="Q68" i="118"/>
  <c r="S68" i="118" s="1"/>
  <c r="T68" i="118" s="1"/>
  <c r="L67" i="72" s="1"/>
  <c r="S38" i="117"/>
  <c r="U38" i="117" s="1"/>
  <c r="V38" i="117" s="1"/>
  <c r="K37" i="72" s="1"/>
  <c r="AG37" i="72"/>
  <c r="Q71" i="116"/>
  <c r="S71" i="116" s="1"/>
  <c r="T71" i="116" s="1"/>
  <c r="I70" i="72" s="1"/>
  <c r="Q29" i="113"/>
  <c r="S29" i="113" s="1"/>
  <c r="T29" i="113" s="1"/>
  <c r="F28" i="72" s="1"/>
  <c r="R41" i="76"/>
  <c r="T41" i="76" s="1"/>
  <c r="U41" i="76" s="1"/>
  <c r="U43" i="72" s="1"/>
  <c r="R27" i="80"/>
  <c r="T27" i="80" s="1"/>
  <c r="U27" i="80" s="1"/>
  <c r="V29" i="72" s="1"/>
  <c r="Q38" i="116"/>
  <c r="S38" i="116" s="1"/>
  <c r="T38" i="116" s="1"/>
  <c r="I37" i="72" s="1"/>
  <c r="Q61" i="116"/>
  <c r="S61" i="116" s="1"/>
  <c r="T61" i="116" s="1"/>
  <c r="I60" i="72" s="1"/>
  <c r="Q35" i="119"/>
  <c r="S35" i="119" s="1"/>
  <c r="T35" i="119" s="1"/>
  <c r="M34" i="72" s="1"/>
  <c r="Q37" i="115"/>
  <c r="S37" i="115" s="1"/>
  <c r="T37" i="115" s="1"/>
  <c r="H36" i="72" s="1"/>
  <c r="S22" i="117"/>
  <c r="U22" i="117" s="1"/>
  <c r="V22" i="117" s="1"/>
  <c r="K21" i="72" s="1"/>
  <c r="Q73" i="120"/>
  <c r="S73" i="120" s="1"/>
  <c r="T73" i="120" s="1"/>
  <c r="N72" i="72" s="1"/>
  <c r="R28" i="80"/>
  <c r="T28" i="80" s="1"/>
  <c r="U28" i="80" s="1"/>
  <c r="V30" i="72" s="1"/>
  <c r="Q68" i="125"/>
  <c r="S68" i="125" s="1"/>
  <c r="T68" i="125" s="1"/>
  <c r="O67" i="72" s="1"/>
  <c r="Q40" i="119"/>
  <c r="S40" i="119" s="1"/>
  <c r="T40" i="119" s="1"/>
  <c r="M39" i="72" s="1"/>
  <c r="Q30" i="116"/>
  <c r="S30" i="116" s="1"/>
  <c r="T30" i="116" s="1"/>
  <c r="I29" i="72" s="1"/>
  <c r="Q45" i="114"/>
  <c r="S45" i="114" s="1"/>
  <c r="T45" i="114" s="1"/>
  <c r="G44" i="72" s="1"/>
  <c r="S38" i="46"/>
  <c r="S40" i="46" s="1"/>
  <c r="T40" i="46" s="1"/>
  <c r="Q36" i="120"/>
  <c r="S36" i="120" s="1"/>
  <c r="T36" i="120" s="1"/>
  <c r="N35" i="72" s="1"/>
  <c r="R16" i="76"/>
  <c r="T16" i="76" s="1"/>
  <c r="U16" i="76" s="1"/>
  <c r="U18" i="72" s="1"/>
  <c r="AO28" i="72"/>
  <c r="Q29" i="129"/>
  <c r="S29" i="129" s="1"/>
  <c r="T29" i="129" s="1"/>
  <c r="S28" i="72" s="1"/>
  <c r="Q35" i="115"/>
  <c r="S35" i="115" s="1"/>
  <c r="T35" i="115" s="1"/>
  <c r="H34" i="72" s="1"/>
  <c r="AE34" i="72"/>
  <c r="Q44" i="125"/>
  <c r="S44" i="125" s="1"/>
  <c r="T44" i="125" s="1"/>
  <c r="O43" i="72" s="1"/>
  <c r="Q34" i="120"/>
  <c r="S34" i="120" s="1"/>
  <c r="T34" i="120" s="1"/>
  <c r="N33" i="72" s="1"/>
  <c r="Q36" i="114"/>
  <c r="S36" i="114" s="1"/>
  <c r="T36" i="114" s="1"/>
  <c r="G35" i="72" s="1"/>
  <c r="AD35" i="72"/>
  <c r="R64" i="76"/>
  <c r="T64" i="76" s="1"/>
  <c r="U64" i="76" s="1"/>
  <c r="U66" i="72" s="1"/>
  <c r="AQ66" i="72"/>
  <c r="S62" i="117"/>
  <c r="U62" i="117" s="1"/>
  <c r="V62" i="117" s="1"/>
  <c r="K61" i="72" s="1"/>
  <c r="R36" i="80"/>
  <c r="T36" i="80" s="1"/>
  <c r="U36" i="80" s="1"/>
  <c r="V38" i="72" s="1"/>
  <c r="AR38" i="72"/>
  <c r="R18" i="80"/>
  <c r="T18" i="80" s="1"/>
  <c r="U18" i="80" s="1"/>
  <c r="V20" i="72" s="1"/>
  <c r="AR70" i="72"/>
  <c r="R68" i="80"/>
  <c r="T68" i="80" s="1"/>
  <c r="U68" i="80" s="1"/>
  <c r="V70" i="72" s="1"/>
  <c r="R26" i="80"/>
  <c r="T26" i="80" s="1"/>
  <c r="U26" i="80" s="1"/>
  <c r="V28" i="72" s="1"/>
  <c r="R71" i="80"/>
  <c r="T71" i="80" s="1"/>
  <c r="U71" i="80" s="1"/>
  <c r="V73" i="72" s="1"/>
  <c r="R49" i="80"/>
  <c r="T49" i="80" s="1"/>
  <c r="U49" i="80" s="1"/>
  <c r="V51" i="72" s="1"/>
  <c r="R57" i="80"/>
  <c r="T57" i="80" s="1"/>
  <c r="U57" i="80" s="1"/>
  <c r="V59" i="72" s="1"/>
  <c r="AR45" i="72"/>
  <c r="R43" i="80"/>
  <c r="T43" i="80" s="1"/>
  <c r="U43" i="80" s="1"/>
  <c r="V45" i="72" s="1"/>
  <c r="R26" i="76"/>
  <c r="T26" i="76" s="1"/>
  <c r="U26" i="76" s="1"/>
  <c r="U28" i="72" s="1"/>
  <c r="AQ28" i="72"/>
  <c r="R36" i="76"/>
  <c r="T36" i="76" s="1"/>
  <c r="U36" i="76" s="1"/>
  <c r="U38" i="72" s="1"/>
  <c r="R21" i="76"/>
  <c r="T21" i="76" s="1"/>
  <c r="U21" i="76" s="1"/>
  <c r="U23" i="72" s="1"/>
  <c r="R71" i="76"/>
  <c r="T71" i="76" s="1"/>
  <c r="U71" i="76" s="1"/>
  <c r="U73" i="72" s="1"/>
  <c r="R27" i="76"/>
  <c r="T27" i="76" s="1"/>
  <c r="U27" i="76" s="1"/>
  <c r="U29" i="72" s="1"/>
  <c r="AQ29" i="72"/>
  <c r="R56" i="76"/>
  <c r="T56" i="76" s="1"/>
  <c r="U56" i="76" s="1"/>
  <c r="U58" i="72" s="1"/>
  <c r="R6" i="76"/>
  <c r="T6" i="76" s="1"/>
  <c r="U6" i="76" s="1"/>
  <c r="U8" i="72" s="1"/>
  <c r="AQ20" i="72"/>
  <c r="R18" i="76"/>
  <c r="T18" i="76" s="1"/>
  <c r="U18" i="76" s="1"/>
  <c r="U20" i="72" s="1"/>
  <c r="R55" i="76"/>
  <c r="T55" i="76" s="1"/>
  <c r="U55" i="76" s="1"/>
  <c r="U57" i="72" s="1"/>
  <c r="AJ15" i="72"/>
  <c r="Q16" i="120"/>
  <c r="S16" i="120" s="1"/>
  <c r="T16" i="120" s="1"/>
  <c r="N15" i="72" s="1"/>
  <c r="AJ54" i="72"/>
  <c r="Q55" i="120"/>
  <c r="S55" i="120" s="1"/>
  <c r="T55" i="120" s="1"/>
  <c r="N54" i="72" s="1"/>
  <c r="Q15" i="120"/>
  <c r="S15" i="120" s="1"/>
  <c r="T15" i="120" s="1"/>
  <c r="N14" i="72" s="1"/>
  <c r="AJ16" i="72"/>
  <c r="Q17" i="120"/>
  <c r="S17" i="120" s="1"/>
  <c r="T17" i="120" s="1"/>
  <c r="N16" i="72" s="1"/>
  <c r="Q70" i="120"/>
  <c r="S70" i="120" s="1"/>
  <c r="T70" i="120" s="1"/>
  <c r="N69" i="72" s="1"/>
  <c r="AJ69" i="72"/>
  <c r="Q23" i="120"/>
  <c r="S23" i="120" s="1"/>
  <c r="T23" i="120" s="1"/>
  <c r="N22" i="72" s="1"/>
  <c r="Q59" i="120"/>
  <c r="S59" i="120" s="1"/>
  <c r="T59" i="120" s="1"/>
  <c r="N58" i="72" s="1"/>
  <c r="Q75" i="119"/>
  <c r="S75" i="119" s="1"/>
  <c r="T75" i="119" s="1"/>
  <c r="M74" i="72" s="1"/>
  <c r="Q34" i="119"/>
  <c r="S34" i="119" s="1"/>
  <c r="T34" i="119" s="1"/>
  <c r="M33" i="72" s="1"/>
  <c r="Q57" i="119"/>
  <c r="S57" i="119" s="1"/>
  <c r="T57" i="119" s="1"/>
  <c r="M56" i="72" s="1"/>
  <c r="AI56" i="72"/>
  <c r="AI29" i="72"/>
  <c r="Q30" i="119"/>
  <c r="S30" i="119" s="1"/>
  <c r="T30" i="119" s="1"/>
  <c r="M29" i="72" s="1"/>
  <c r="Q25" i="119"/>
  <c r="S25" i="119" s="1"/>
  <c r="T25" i="119" s="1"/>
  <c r="M24" i="72" s="1"/>
  <c r="Q36" i="119"/>
  <c r="S36" i="119" s="1"/>
  <c r="T36" i="119" s="1"/>
  <c r="M35" i="72" s="1"/>
  <c r="AH24" i="72"/>
  <c r="Q25" i="118"/>
  <c r="S25" i="118" s="1"/>
  <c r="T25" i="118" s="1"/>
  <c r="L24" i="72" s="1"/>
  <c r="Q63" i="118"/>
  <c r="S63" i="118" s="1"/>
  <c r="T63" i="118" s="1"/>
  <c r="L62" i="72" s="1"/>
  <c r="Q39" i="118"/>
  <c r="S39" i="118" s="1"/>
  <c r="T39" i="118" s="1"/>
  <c r="L38" i="72" s="1"/>
  <c r="AH47" i="72"/>
  <c r="Q48" i="118"/>
  <c r="S48" i="118" s="1"/>
  <c r="T48" i="118" s="1"/>
  <c r="L47" i="72" s="1"/>
  <c r="Q26" i="118"/>
  <c r="S26" i="118" s="1"/>
  <c r="T26" i="118" s="1"/>
  <c r="L25" i="72" s="1"/>
  <c r="S52" i="117"/>
  <c r="U52" i="117" s="1"/>
  <c r="V52" i="117" s="1"/>
  <c r="K51" i="72" s="1"/>
  <c r="AG23" i="72"/>
  <c r="S24" i="117"/>
  <c r="U24" i="117" s="1"/>
  <c r="V24" i="117" s="1"/>
  <c r="K23" i="72" s="1"/>
  <c r="AG74" i="72"/>
  <c r="S75" i="117"/>
  <c r="U75" i="117" s="1"/>
  <c r="V75" i="117" s="1"/>
  <c r="K74" i="72" s="1"/>
  <c r="S47" i="117"/>
  <c r="U47" i="117" s="1"/>
  <c r="V47" i="117" s="1"/>
  <c r="K46" i="72" s="1"/>
  <c r="S16" i="117"/>
  <c r="U16" i="117" s="1"/>
  <c r="V16" i="117" s="1"/>
  <c r="K15" i="72" s="1"/>
  <c r="AG10" i="72"/>
  <c r="S11" i="117"/>
  <c r="U11" i="117" s="1"/>
  <c r="V11" i="117" s="1"/>
  <c r="K10" i="72" s="1"/>
  <c r="Q47" i="116"/>
  <c r="S47" i="116" s="1"/>
  <c r="T47" i="116" s="1"/>
  <c r="I46" i="72" s="1"/>
  <c r="Q60" i="116"/>
  <c r="S60" i="116" s="1"/>
  <c r="T60" i="116" s="1"/>
  <c r="I59" i="72" s="1"/>
  <c r="Q58" i="116"/>
  <c r="S58" i="116" s="1"/>
  <c r="T58" i="116" s="1"/>
  <c r="I57" i="72" s="1"/>
  <c r="Q50" i="116"/>
  <c r="S50" i="116" s="1"/>
  <c r="T50" i="116" s="1"/>
  <c r="I49" i="72" s="1"/>
  <c r="AF12" i="72"/>
  <c r="Q13" i="116"/>
  <c r="S13" i="116" s="1"/>
  <c r="T13" i="116" s="1"/>
  <c r="I12" i="72" s="1"/>
  <c r="Q46" i="116"/>
  <c r="S46" i="116" s="1"/>
  <c r="T46" i="116" s="1"/>
  <c r="I45" i="72" s="1"/>
  <c r="Q39" i="115"/>
  <c r="S39" i="115" s="1"/>
  <c r="T39" i="115" s="1"/>
  <c r="H38" i="72" s="1"/>
  <c r="Q65" i="115"/>
  <c r="S65" i="115" s="1"/>
  <c r="T65" i="115" s="1"/>
  <c r="H64" i="72" s="1"/>
  <c r="Q56" i="115"/>
  <c r="S56" i="115" s="1"/>
  <c r="T56" i="115" s="1"/>
  <c r="H55" i="72" s="1"/>
  <c r="Q18" i="115"/>
  <c r="S18" i="115" s="1"/>
  <c r="T18" i="115" s="1"/>
  <c r="H17" i="72" s="1"/>
  <c r="AE16" i="72"/>
  <c r="Q17" i="115"/>
  <c r="S17" i="115" s="1"/>
  <c r="T17" i="115" s="1"/>
  <c r="H16" i="72" s="1"/>
  <c r="Q34" i="115"/>
  <c r="S34" i="115" s="1"/>
  <c r="T34" i="115" s="1"/>
  <c r="H33" i="72" s="1"/>
  <c r="AE33" i="72"/>
  <c r="Q26" i="115"/>
  <c r="S26" i="115" s="1"/>
  <c r="T26" i="115" s="1"/>
  <c r="H25" i="72" s="1"/>
  <c r="AE25" i="72"/>
  <c r="Q15" i="115"/>
  <c r="S15" i="115" s="1"/>
  <c r="T15" i="115" s="1"/>
  <c r="H14" i="72" s="1"/>
  <c r="AE14" i="72"/>
  <c r="AD24" i="72"/>
  <c r="Q25" i="114"/>
  <c r="S25" i="114" s="1"/>
  <c r="T25" i="114" s="1"/>
  <c r="G24" i="72" s="1"/>
  <c r="Q54" i="114"/>
  <c r="S54" i="114" s="1"/>
  <c r="T54" i="114" s="1"/>
  <c r="G53" i="72" s="1"/>
  <c r="Q53" i="114"/>
  <c r="S53" i="114" s="1"/>
  <c r="T53" i="114" s="1"/>
  <c r="G52" i="72" s="1"/>
  <c r="Q22" i="114"/>
  <c r="S22" i="114" s="1"/>
  <c r="T22" i="114" s="1"/>
  <c r="G21" i="72" s="1"/>
  <c r="Q10" i="114"/>
  <c r="S10" i="114" s="1"/>
  <c r="T10" i="114" s="1"/>
  <c r="G9" i="72" s="1"/>
  <c r="AD9" i="72"/>
  <c r="Q47" i="114"/>
  <c r="S47" i="114" s="1"/>
  <c r="T47" i="114" s="1"/>
  <c r="G46" i="72" s="1"/>
  <c r="Q19" i="114"/>
  <c r="S19" i="114" s="1"/>
  <c r="T19" i="114" s="1"/>
  <c r="G18" i="72" s="1"/>
  <c r="Q28" i="113"/>
  <c r="S28" i="113" s="1"/>
  <c r="T28" i="113" s="1"/>
  <c r="F27" i="72" s="1"/>
  <c r="Q36" i="113"/>
  <c r="S36" i="113" s="1"/>
  <c r="T36" i="113" s="1"/>
  <c r="F35" i="72" s="1"/>
  <c r="Q35" i="113"/>
  <c r="S35" i="113" s="1"/>
  <c r="T35" i="113" s="1"/>
  <c r="F34" i="72" s="1"/>
  <c r="Q50" i="113"/>
  <c r="S50" i="113" s="1"/>
  <c r="T50" i="113" s="1"/>
  <c r="F49" i="72" s="1"/>
  <c r="Q74" i="113"/>
  <c r="S74" i="113" s="1"/>
  <c r="T74" i="113" s="1"/>
  <c r="F73" i="72" s="1"/>
  <c r="N25" i="31"/>
  <c r="O25" i="31" s="1"/>
  <c r="P25" i="31" s="1"/>
  <c r="R25" i="31" s="1"/>
  <c r="S25" i="31" s="1"/>
  <c r="G71" i="81"/>
  <c r="N65" i="31"/>
  <c r="O31" i="31"/>
  <c r="P31" i="31" s="1"/>
  <c r="R31" i="31" s="1"/>
  <c r="S31" i="31" s="1"/>
  <c r="M16" i="31"/>
  <c r="N56" i="31"/>
  <c r="O56" i="31" s="1"/>
  <c r="P56" i="31" s="1"/>
  <c r="R56" i="31" s="1"/>
  <c r="S56" i="31" s="1"/>
  <c r="N49" i="31"/>
  <c r="O49" i="31" s="1"/>
  <c r="P49" i="31" s="1"/>
  <c r="R49" i="31" s="1"/>
  <c r="S49" i="31" s="1"/>
  <c r="N53" i="31"/>
  <c r="O53" i="31" s="1"/>
  <c r="P53" i="31" s="1"/>
  <c r="R53" i="31" s="1"/>
  <c r="S53" i="31" s="1"/>
  <c r="N39" i="31"/>
  <c r="O39" i="31" s="1"/>
  <c r="P39" i="31" s="1"/>
  <c r="R39" i="31" s="1"/>
  <c r="S39" i="31" s="1"/>
  <c r="O21" i="31"/>
  <c r="P21" i="31" s="1"/>
  <c r="R21" i="31" s="1"/>
  <c r="S21" i="31" s="1"/>
  <c r="O65" i="31"/>
  <c r="P65" i="31" s="1"/>
  <c r="R65" i="31" s="1"/>
  <c r="S65" i="31" s="1"/>
  <c r="M50" i="31"/>
  <c r="O50" i="31" s="1"/>
  <c r="P50" i="31" s="1"/>
  <c r="R50" i="31" s="1"/>
  <c r="S50" i="31" s="1"/>
  <c r="M14" i="31"/>
  <c r="O14" i="31" s="1"/>
  <c r="P14" i="31" s="1"/>
  <c r="R14" i="31" s="1"/>
  <c r="S14" i="31" s="1"/>
  <c r="M57" i="31"/>
  <c r="O57" i="31" s="1"/>
  <c r="P57" i="31" s="1"/>
  <c r="R57" i="31" s="1"/>
  <c r="N44" i="31"/>
  <c r="O44" i="31" s="1"/>
  <c r="P44" i="31" s="1"/>
  <c r="R44" i="31" s="1"/>
  <c r="S44" i="31" s="1"/>
  <c r="N15" i="31"/>
  <c r="O15" i="31" s="1"/>
  <c r="P15" i="31" s="1"/>
  <c r="R15" i="31" s="1"/>
  <c r="S15" i="31" s="1"/>
  <c r="N58" i="31"/>
  <c r="O58" i="31" s="1"/>
  <c r="P58" i="31" s="1"/>
  <c r="R58" i="31" s="1"/>
  <c r="S58" i="31" s="1"/>
  <c r="M22" i="31"/>
  <c r="O22" i="31" s="1"/>
  <c r="P22" i="31" s="1"/>
  <c r="R22" i="31" s="1"/>
  <c r="S22" i="31" s="1"/>
  <c r="M61" i="31"/>
  <c r="O61" i="31" s="1"/>
  <c r="P61" i="31" s="1"/>
  <c r="R61" i="31" s="1"/>
  <c r="S61" i="31" s="1"/>
  <c r="G69" i="31"/>
  <c r="G70" i="31" s="1"/>
  <c r="N64" i="31"/>
  <c r="O64" i="31" s="1"/>
  <c r="P64" i="31" s="1"/>
  <c r="R64" i="31" s="1"/>
  <c r="S64" i="31" s="1"/>
  <c r="O32" i="31"/>
  <c r="P32" i="31" s="1"/>
  <c r="R32" i="31" s="1"/>
  <c r="S32" i="31" s="1"/>
  <c r="N35" i="31"/>
  <c r="O35" i="31" s="1"/>
  <c r="P35" i="31" s="1"/>
  <c r="R35" i="31" s="1"/>
  <c r="S35" i="31" s="1"/>
  <c r="O63" i="31"/>
  <c r="P63" i="31" s="1"/>
  <c r="R63" i="31" s="1"/>
  <c r="S63" i="31" s="1"/>
  <c r="O33" i="31"/>
  <c r="P33" i="31" s="1"/>
  <c r="R33" i="31" s="1"/>
  <c r="S33" i="31" s="1"/>
  <c r="O30" i="31"/>
  <c r="P30" i="31" s="1"/>
  <c r="R30" i="31" s="1"/>
  <c r="S30" i="31" s="1"/>
  <c r="M28" i="31"/>
  <c r="N28" i="31"/>
  <c r="N37" i="31"/>
  <c r="M37" i="31"/>
  <c r="M40" i="31"/>
  <c r="N40" i="31"/>
  <c r="O42" i="31"/>
  <c r="P42" i="31" s="1"/>
  <c r="R42" i="31" s="1"/>
  <c r="S42" i="31" s="1"/>
  <c r="G76" i="129"/>
  <c r="N60" i="31"/>
  <c r="M60" i="31"/>
  <c r="O47" i="31"/>
  <c r="P47" i="31" s="1"/>
  <c r="R47" i="31" s="1"/>
  <c r="S47" i="31" s="1"/>
  <c r="O12" i="31"/>
  <c r="P12" i="31" s="1"/>
  <c r="R12" i="31" s="1"/>
  <c r="S12" i="31" s="1"/>
  <c r="O38" i="31"/>
  <c r="P38" i="31" s="1"/>
  <c r="R38" i="31" s="1"/>
  <c r="S38" i="31" s="1"/>
  <c r="O45" i="31"/>
  <c r="P45" i="31" s="1"/>
  <c r="R45" i="31" s="1"/>
  <c r="S45" i="31" s="1"/>
  <c r="O17" i="31"/>
  <c r="P17" i="31" s="1"/>
  <c r="R17" i="31" s="1"/>
  <c r="S17" i="31" s="1"/>
  <c r="O52" i="31"/>
  <c r="P52" i="31" s="1"/>
  <c r="R52" i="31" s="1"/>
  <c r="S52" i="31" s="1"/>
  <c r="L69" i="31"/>
  <c r="L70" i="31" s="1"/>
  <c r="E41" i="100" s="1"/>
  <c r="E75" i="100" s="1"/>
  <c r="O62" i="31"/>
  <c r="P62" i="31" s="1"/>
  <c r="R62" i="31" s="1"/>
  <c r="S62" i="31" s="1"/>
  <c r="N46" i="31"/>
  <c r="M46" i="31"/>
  <c r="O18" i="31"/>
  <c r="P18" i="31" s="1"/>
  <c r="R18" i="31" s="1"/>
  <c r="S18" i="31" s="1"/>
  <c r="O36" i="31"/>
  <c r="P36" i="31" s="1"/>
  <c r="R36" i="31" s="1"/>
  <c r="S36" i="31" s="1"/>
  <c r="O67" i="31"/>
  <c r="P67" i="31" s="1"/>
  <c r="R67" i="31" s="1"/>
  <c r="S67" i="31" s="1"/>
  <c r="O55" i="31"/>
  <c r="P55" i="31" s="1"/>
  <c r="R55" i="31" s="1"/>
  <c r="S55" i="31" s="1"/>
  <c r="P75" i="100"/>
  <c r="K75" i="100"/>
  <c r="I75" i="100"/>
  <c r="U75" i="100"/>
  <c r="O75" i="100"/>
  <c r="G38" i="33"/>
  <c r="H56" i="33"/>
  <c r="G49" i="33"/>
  <c r="H33" i="33"/>
  <c r="H13" i="33"/>
  <c r="H61" i="33"/>
  <c r="G61" i="33"/>
  <c r="H69" i="33"/>
  <c r="G69" i="33"/>
  <c r="H53" i="33"/>
  <c r="G53" i="33"/>
  <c r="G46" i="33"/>
  <c r="H30" i="33"/>
  <c r="G29" i="33"/>
  <c r="H29" i="33"/>
  <c r="G37" i="33"/>
  <c r="H37" i="33"/>
  <c r="G41" i="33"/>
  <c r="G21" i="33"/>
  <c r="H21" i="33"/>
  <c r="G63" i="33"/>
  <c r="H63" i="33"/>
  <c r="G47" i="33"/>
  <c r="H47" i="33"/>
  <c r="G31" i="33"/>
  <c r="H31" i="33"/>
  <c r="G15" i="33"/>
  <c r="H15" i="33"/>
  <c r="G75" i="33"/>
  <c r="H75" i="33"/>
  <c r="G59" i="33"/>
  <c r="H59" i="33"/>
  <c r="G43" i="33"/>
  <c r="H43" i="33"/>
  <c r="H27" i="33"/>
  <c r="G27" i="33"/>
  <c r="G11" i="33"/>
  <c r="H11" i="33"/>
  <c r="H71" i="33"/>
  <c r="G71" i="33"/>
  <c r="G55" i="33"/>
  <c r="H55" i="33"/>
  <c r="G39" i="33"/>
  <c r="H39" i="33"/>
  <c r="G23" i="33"/>
  <c r="H23" i="33"/>
  <c r="H8" i="33"/>
  <c r="G8" i="33"/>
  <c r="F76" i="33"/>
  <c r="E69" i="81" s="1"/>
  <c r="H67" i="33"/>
  <c r="G67" i="33"/>
  <c r="H51" i="33"/>
  <c r="G51" i="33"/>
  <c r="H35" i="33"/>
  <c r="G35" i="33"/>
  <c r="H19" i="33"/>
  <c r="G19" i="33"/>
  <c r="H72" i="81"/>
  <c r="H22" i="81"/>
  <c r="T4" i="80"/>
  <c r="AK29" i="72"/>
  <c r="Q30" i="125"/>
  <c r="S30" i="125" s="1"/>
  <c r="T30" i="125" s="1"/>
  <c r="O29" i="72" s="1"/>
  <c r="Q12" i="128"/>
  <c r="S12" i="128" s="1"/>
  <c r="T12" i="128" s="1"/>
  <c r="R11" i="72" s="1"/>
  <c r="AN11" i="72"/>
  <c r="Q43" i="126"/>
  <c r="S43" i="126" s="1"/>
  <c r="T43" i="126" s="1"/>
  <c r="P42" i="72" s="1"/>
  <c r="AL42" i="72"/>
  <c r="Q59" i="125"/>
  <c r="S59" i="125" s="1"/>
  <c r="T59" i="125" s="1"/>
  <c r="O58" i="72" s="1"/>
  <c r="AK58" i="72"/>
  <c r="Q25" i="126"/>
  <c r="S25" i="126" s="1"/>
  <c r="T25" i="126" s="1"/>
  <c r="P24" i="72" s="1"/>
  <c r="AL24" i="72"/>
  <c r="S7" i="131"/>
  <c r="AO6" i="72"/>
  <c r="P76" i="129"/>
  <c r="Q7" i="129"/>
  <c r="Q56" i="119"/>
  <c r="S56" i="119" s="1"/>
  <c r="T56" i="119" s="1"/>
  <c r="M55" i="72" s="1"/>
  <c r="AI55" i="72"/>
  <c r="Q26" i="114"/>
  <c r="S26" i="114" s="1"/>
  <c r="T26" i="114" s="1"/>
  <c r="G25" i="72" s="1"/>
  <c r="AD25" i="72"/>
  <c r="AG35" i="72"/>
  <c r="S36" i="117"/>
  <c r="U36" i="117" s="1"/>
  <c r="V36" i="117" s="1"/>
  <c r="K35" i="72" s="1"/>
  <c r="AD57" i="72"/>
  <c r="Q58" i="114"/>
  <c r="S58" i="114" s="1"/>
  <c r="T58" i="114" s="1"/>
  <c r="G57" i="72" s="1"/>
  <c r="AH31" i="72"/>
  <c r="Q32" i="118"/>
  <c r="S32" i="118" s="1"/>
  <c r="T32" i="118" s="1"/>
  <c r="L31" i="72" s="1"/>
  <c r="AC46" i="72"/>
  <c r="Q47" i="113"/>
  <c r="S47" i="113" s="1"/>
  <c r="T47" i="113" s="1"/>
  <c r="F46" i="72" s="1"/>
  <c r="P76" i="115"/>
  <c r="Q38" i="46"/>
  <c r="D22" i="100"/>
  <c r="T7" i="118"/>
  <c r="AK56" i="72"/>
  <c r="Q57" i="125"/>
  <c r="S57" i="125" s="1"/>
  <c r="T57" i="125" s="1"/>
  <c r="O56" i="72" s="1"/>
  <c r="AP66" i="72"/>
  <c r="Q67" i="131"/>
  <c r="S67" i="131" s="1"/>
  <c r="T67" i="131" s="1"/>
  <c r="T66" i="72" s="1"/>
  <c r="AM34" i="72"/>
  <c r="Q35" i="127"/>
  <c r="S35" i="127" s="1"/>
  <c r="T35" i="127" s="1"/>
  <c r="Q34" i="72" s="1"/>
  <c r="Q61" i="125"/>
  <c r="S61" i="125" s="1"/>
  <c r="T61" i="125" s="1"/>
  <c r="O60" i="72" s="1"/>
  <c r="AK60" i="72"/>
  <c r="S10" i="128"/>
  <c r="AI45" i="72"/>
  <c r="Q46" i="119"/>
  <c r="S46" i="119" s="1"/>
  <c r="T46" i="119" s="1"/>
  <c r="M45" i="72" s="1"/>
  <c r="AC20" i="72"/>
  <c r="Q21" i="113"/>
  <c r="S21" i="113" s="1"/>
  <c r="T21" i="113" s="1"/>
  <c r="F20" i="72" s="1"/>
  <c r="AG44" i="72"/>
  <c r="S45" i="117"/>
  <c r="U45" i="117" s="1"/>
  <c r="V45" i="117" s="1"/>
  <c r="K44" i="72" s="1"/>
  <c r="AD23" i="72"/>
  <c r="Q24" i="114"/>
  <c r="S24" i="114" s="1"/>
  <c r="T24" i="114" s="1"/>
  <c r="G23" i="72" s="1"/>
  <c r="J75" i="100"/>
  <c r="AD11" i="72"/>
  <c r="Q12" i="114"/>
  <c r="S12" i="114" s="1"/>
  <c r="T12" i="114" s="1"/>
  <c r="G11" i="72" s="1"/>
  <c r="S7" i="120"/>
  <c r="Q69" i="115"/>
  <c r="S69" i="115" s="1"/>
  <c r="T69" i="115" s="1"/>
  <c r="H68" i="72" s="1"/>
  <c r="S7" i="113"/>
  <c r="AR49" i="72"/>
  <c r="R47" i="80"/>
  <c r="T47" i="80" s="1"/>
  <c r="U47" i="80" s="1"/>
  <c r="V49" i="72" s="1"/>
  <c r="AQ11" i="72"/>
  <c r="R9" i="76"/>
  <c r="T9" i="76" s="1"/>
  <c r="U9" i="76" s="1"/>
  <c r="U11" i="72" s="1"/>
  <c r="M75" i="100"/>
  <c r="AR60" i="72"/>
  <c r="R58" i="80"/>
  <c r="T58" i="80" s="1"/>
  <c r="U58" i="80" s="1"/>
  <c r="V60" i="72" s="1"/>
  <c r="U4" i="76"/>
  <c r="AK48" i="72"/>
  <c r="Q49" i="125"/>
  <c r="S49" i="125" s="1"/>
  <c r="T49" i="125" s="1"/>
  <c r="O48" i="72" s="1"/>
  <c r="Q75" i="100"/>
  <c r="Q34" i="125"/>
  <c r="S34" i="125" s="1"/>
  <c r="T34" i="125" s="1"/>
  <c r="O33" i="72" s="1"/>
  <c r="AK33" i="72"/>
  <c r="P76" i="127"/>
  <c r="AM6" i="72"/>
  <c r="Q7" i="127"/>
  <c r="Q67" i="129"/>
  <c r="S67" i="129" s="1"/>
  <c r="T67" i="129" s="1"/>
  <c r="S66" i="72" s="1"/>
  <c r="AO57" i="72"/>
  <c r="Q58" i="129"/>
  <c r="S58" i="129" s="1"/>
  <c r="T58" i="129" s="1"/>
  <c r="S57" i="72" s="1"/>
  <c r="Q32" i="128"/>
  <c r="S32" i="128" s="1"/>
  <c r="T32" i="128" s="1"/>
  <c r="R31" i="72" s="1"/>
  <c r="AN31" i="72"/>
  <c r="AM28" i="72"/>
  <c r="Q29" i="127"/>
  <c r="S29" i="127" s="1"/>
  <c r="T29" i="127" s="1"/>
  <c r="Q28" i="72" s="1"/>
  <c r="AL34" i="72"/>
  <c r="Q35" i="126"/>
  <c r="S35" i="126" s="1"/>
  <c r="T35" i="126" s="1"/>
  <c r="P34" i="72" s="1"/>
  <c r="Q11" i="125"/>
  <c r="S11" i="125" s="1"/>
  <c r="T11" i="125" s="1"/>
  <c r="O10" i="72" s="1"/>
  <c r="AK10" i="72"/>
  <c r="Q48" i="125"/>
  <c r="S48" i="125" s="1"/>
  <c r="T48" i="125" s="1"/>
  <c r="O47" i="72" s="1"/>
  <c r="AK47" i="72"/>
  <c r="P76" i="125"/>
  <c r="O59" i="31"/>
  <c r="P59" i="31" s="1"/>
  <c r="R59" i="31" s="1"/>
  <c r="S59" i="31" s="1"/>
  <c r="AF44" i="72"/>
  <c r="Q45" i="116"/>
  <c r="S45" i="116" s="1"/>
  <c r="T45" i="116" s="1"/>
  <c r="I44" i="72" s="1"/>
  <c r="Q27" i="126"/>
  <c r="S27" i="126" s="1"/>
  <c r="T27" i="126" s="1"/>
  <c r="P26" i="72" s="1"/>
  <c r="P76" i="128"/>
  <c r="AI54" i="72"/>
  <c r="Q55" i="119"/>
  <c r="S55" i="119" s="1"/>
  <c r="T55" i="119" s="1"/>
  <c r="M54" i="72" s="1"/>
  <c r="Q41" i="120"/>
  <c r="S41" i="120" s="1"/>
  <c r="T41" i="120" s="1"/>
  <c r="N40" i="72" s="1"/>
  <c r="Q75" i="116"/>
  <c r="S75" i="116" s="1"/>
  <c r="T75" i="116" s="1"/>
  <c r="I74" i="72" s="1"/>
  <c r="Q74" i="118"/>
  <c r="S74" i="118" s="1"/>
  <c r="T74" i="118" s="1"/>
  <c r="L73" i="72" s="1"/>
  <c r="Q67" i="116"/>
  <c r="S67" i="116" s="1"/>
  <c r="T67" i="116" s="1"/>
  <c r="I66" i="72" s="1"/>
  <c r="AH52" i="72"/>
  <c r="Q53" i="118"/>
  <c r="S53" i="118" s="1"/>
  <c r="T53" i="118" s="1"/>
  <c r="L52" i="72" s="1"/>
  <c r="S50" i="117"/>
  <c r="U50" i="117" s="1"/>
  <c r="V50" i="117" s="1"/>
  <c r="K49" i="72" s="1"/>
  <c r="AD12" i="72"/>
  <c r="Q13" i="114"/>
  <c r="S13" i="114" s="1"/>
  <c r="T13" i="114" s="1"/>
  <c r="G12" i="72" s="1"/>
  <c r="AI51" i="72"/>
  <c r="Q52" i="119"/>
  <c r="S52" i="119" s="1"/>
  <c r="T52" i="119" s="1"/>
  <c r="M51" i="72" s="1"/>
  <c r="Q45" i="113"/>
  <c r="S45" i="113" s="1"/>
  <c r="T45" i="113" s="1"/>
  <c r="F44" i="72" s="1"/>
  <c r="AH14" i="72"/>
  <c r="Q15" i="118"/>
  <c r="S15" i="118" s="1"/>
  <c r="T15" i="118" s="1"/>
  <c r="L14" i="72" s="1"/>
  <c r="AF72" i="72"/>
  <c r="Q73" i="116"/>
  <c r="S73" i="116" s="1"/>
  <c r="T73" i="116" s="1"/>
  <c r="I72" i="72" s="1"/>
  <c r="P76" i="120"/>
  <c r="AJ6" i="72"/>
  <c r="Q62" i="114"/>
  <c r="S62" i="114" s="1"/>
  <c r="T62" i="114" s="1"/>
  <c r="G61" i="72" s="1"/>
  <c r="Q16" i="115"/>
  <c r="S16" i="115" s="1"/>
  <c r="T16" i="115" s="1"/>
  <c r="H15" i="72" s="1"/>
  <c r="Q60" i="115"/>
  <c r="S60" i="115" s="1"/>
  <c r="T60" i="115" s="1"/>
  <c r="H59" i="72" s="1"/>
  <c r="O41" i="31"/>
  <c r="P41" i="31" s="1"/>
  <c r="R41" i="31" s="1"/>
  <c r="S41" i="31" s="1"/>
  <c r="O24" i="31"/>
  <c r="P24" i="31" s="1"/>
  <c r="R24" i="31" s="1"/>
  <c r="S24" i="31" s="1"/>
  <c r="O13" i="31"/>
  <c r="O27" i="31"/>
  <c r="P27" i="31" s="1"/>
  <c r="R27" i="31" s="1"/>
  <c r="S27" i="31" s="1"/>
  <c r="O16" i="31"/>
  <c r="P16" i="31" s="1"/>
  <c r="R16" i="31" s="1"/>
  <c r="S16" i="31" s="1"/>
  <c r="Q36" i="115"/>
  <c r="S36" i="115" s="1"/>
  <c r="T36" i="115" s="1"/>
  <c r="H35" i="72" s="1"/>
  <c r="Q12" i="116"/>
  <c r="S12" i="116" s="1"/>
  <c r="T12" i="116" s="1"/>
  <c r="I11" i="72" s="1"/>
  <c r="Q12" i="113"/>
  <c r="S12" i="113" s="1"/>
  <c r="T12" i="113" s="1"/>
  <c r="F11" i="72" s="1"/>
  <c r="Q73" i="118"/>
  <c r="S73" i="118" s="1"/>
  <c r="T73" i="118" s="1"/>
  <c r="L72" i="72" s="1"/>
  <c r="V7" i="117"/>
  <c r="R47" i="76"/>
  <c r="T47" i="76" s="1"/>
  <c r="U47" i="76" s="1"/>
  <c r="U49" i="72" s="1"/>
  <c r="AQ49" i="72"/>
  <c r="AR27" i="72"/>
  <c r="R25" i="80"/>
  <c r="T25" i="80" s="1"/>
  <c r="U25" i="80" s="1"/>
  <c r="V27" i="72" s="1"/>
  <c r="T75" i="100"/>
  <c r="AQ51" i="72"/>
  <c r="R49" i="76"/>
  <c r="T49" i="76" s="1"/>
  <c r="U49" i="76" s="1"/>
  <c r="U51" i="72" s="1"/>
  <c r="Q53" i="116"/>
  <c r="S53" i="116" s="1"/>
  <c r="T53" i="116" s="1"/>
  <c r="I52" i="72" s="1"/>
  <c r="Q52" i="118"/>
  <c r="S52" i="118" s="1"/>
  <c r="T52" i="118" s="1"/>
  <c r="L51" i="72" s="1"/>
  <c r="T29" i="46"/>
  <c r="R30" i="46"/>
  <c r="Z14" i="72" s="1"/>
  <c r="R63" i="76"/>
  <c r="T63" i="76" s="1"/>
  <c r="U63" i="76" s="1"/>
  <c r="U65" i="72" s="1"/>
  <c r="Q53" i="126"/>
  <c r="S53" i="126" s="1"/>
  <c r="T53" i="126" s="1"/>
  <c r="P52" i="72" s="1"/>
  <c r="AL52" i="72"/>
  <c r="Q36" i="125"/>
  <c r="S36" i="125" s="1"/>
  <c r="T36" i="125" s="1"/>
  <c r="O35" i="72" s="1"/>
  <c r="AK35" i="72"/>
  <c r="AG17" i="72"/>
  <c r="S18" i="117"/>
  <c r="U18" i="117" s="1"/>
  <c r="V18" i="117" s="1"/>
  <c r="K17" i="72" s="1"/>
  <c r="Q66" i="113"/>
  <c r="S66" i="113" s="1"/>
  <c r="T66" i="113" s="1"/>
  <c r="F65" i="72" s="1"/>
  <c r="AC65" i="72"/>
  <c r="AI16" i="72"/>
  <c r="Q17" i="119"/>
  <c r="S17" i="119" s="1"/>
  <c r="T17" i="119" s="1"/>
  <c r="M16" i="72" s="1"/>
  <c r="AF27" i="72"/>
  <c r="Q28" i="116"/>
  <c r="S28" i="116" s="1"/>
  <c r="T28" i="116" s="1"/>
  <c r="I27" i="72" s="1"/>
  <c r="AH49" i="72"/>
  <c r="Q50" i="118"/>
  <c r="S50" i="118" s="1"/>
  <c r="T50" i="118" s="1"/>
  <c r="L49" i="72" s="1"/>
  <c r="AG9" i="72"/>
  <c r="R76" i="117"/>
  <c r="L75" i="100"/>
  <c r="AG50" i="72"/>
  <c r="S51" i="117"/>
  <c r="U51" i="117" s="1"/>
  <c r="V51" i="117" s="1"/>
  <c r="K50" i="72" s="1"/>
  <c r="Z22" i="72"/>
  <c r="M7" i="72"/>
  <c r="S7" i="114"/>
  <c r="AM36" i="72"/>
  <c r="Q37" i="127"/>
  <c r="S37" i="127" s="1"/>
  <c r="T37" i="127" s="1"/>
  <c r="Q36" i="72" s="1"/>
  <c r="AN73" i="72"/>
  <c r="Q74" i="128"/>
  <c r="S74" i="128" s="1"/>
  <c r="T74" i="128" s="1"/>
  <c r="R73" i="72" s="1"/>
  <c r="AL64" i="72"/>
  <c r="Q65" i="126"/>
  <c r="S65" i="126" s="1"/>
  <c r="T65" i="126" s="1"/>
  <c r="P64" i="72" s="1"/>
  <c r="T7" i="125"/>
  <c r="P76" i="131"/>
  <c r="AP6" i="72"/>
  <c r="R75" i="100"/>
  <c r="Q34" i="113"/>
  <c r="S34" i="113" s="1"/>
  <c r="T34" i="113" s="1"/>
  <c r="F33" i="72" s="1"/>
  <c r="AC33" i="72"/>
  <c r="S69" i="117"/>
  <c r="U69" i="117" s="1"/>
  <c r="V69" i="117" s="1"/>
  <c r="K68" i="72" s="1"/>
  <c r="Q55" i="118"/>
  <c r="S55" i="118" s="1"/>
  <c r="T55" i="118" s="1"/>
  <c r="L54" i="72" s="1"/>
  <c r="AJ63" i="72"/>
  <c r="Q64" i="120"/>
  <c r="S64" i="120" s="1"/>
  <c r="T64" i="120" s="1"/>
  <c r="N63" i="72" s="1"/>
  <c r="AF71" i="72"/>
  <c r="Q72" i="116"/>
  <c r="S72" i="116" s="1"/>
  <c r="T72" i="116" s="1"/>
  <c r="I71" i="72" s="1"/>
  <c r="AG72" i="72"/>
  <c r="S73" i="117"/>
  <c r="U73" i="117" s="1"/>
  <c r="V73" i="117" s="1"/>
  <c r="K72" i="72" s="1"/>
  <c r="P77" i="114"/>
  <c r="P76" i="113"/>
  <c r="AN53" i="72"/>
  <c r="Q54" i="128"/>
  <c r="S54" i="128" s="1"/>
  <c r="T54" i="128" s="1"/>
  <c r="R53" i="72" s="1"/>
  <c r="AL6" i="72"/>
  <c r="Q7" i="126"/>
  <c r="P76" i="126"/>
  <c r="Q26" i="125"/>
  <c r="S26" i="125" s="1"/>
  <c r="T26" i="125" s="1"/>
  <c r="O25" i="72" s="1"/>
  <c r="AK25" i="72"/>
  <c r="Q20" i="129"/>
  <c r="S20" i="129" s="1"/>
  <c r="T20" i="129" s="1"/>
  <c r="S19" i="72" s="1"/>
  <c r="AO19" i="72"/>
  <c r="AN37" i="72"/>
  <c r="Q38" i="128"/>
  <c r="S38" i="128" s="1"/>
  <c r="T38" i="128" s="1"/>
  <c r="R37" i="72" s="1"/>
  <c r="Q24" i="127"/>
  <c r="S24" i="127" s="1"/>
  <c r="T24" i="127" s="1"/>
  <c r="Q23" i="72" s="1"/>
  <c r="AM23" i="72"/>
  <c r="Q44" i="129"/>
  <c r="S44" i="129" s="1"/>
  <c r="T44" i="129" s="1"/>
  <c r="S43" i="72" s="1"/>
  <c r="AL48" i="72"/>
  <c r="Q49" i="126"/>
  <c r="S49" i="126" s="1"/>
  <c r="T49" i="126" s="1"/>
  <c r="P48" i="72" s="1"/>
  <c r="N75" i="100"/>
  <c r="AP27" i="72"/>
  <c r="Q28" i="131"/>
  <c r="S28" i="131" s="1"/>
  <c r="T28" i="131" s="1"/>
  <c r="T27" i="72" s="1"/>
  <c r="AM56" i="72"/>
  <c r="Q57" i="127"/>
  <c r="S57" i="127" s="1"/>
  <c r="T57" i="127" s="1"/>
  <c r="Q56" i="72" s="1"/>
  <c r="AM10" i="72"/>
  <c r="Q11" i="127"/>
  <c r="S11" i="127" s="1"/>
  <c r="T11" i="127" s="1"/>
  <c r="Q10" i="72" s="1"/>
  <c r="Q56" i="126"/>
  <c r="S56" i="126" s="1"/>
  <c r="T56" i="126" s="1"/>
  <c r="P55" i="72" s="1"/>
  <c r="Q11" i="115"/>
  <c r="S11" i="115" s="1"/>
  <c r="T11" i="115" s="1"/>
  <c r="H10" i="72" s="1"/>
  <c r="S75" i="100"/>
  <c r="Q10" i="126"/>
  <c r="S10" i="126" s="1"/>
  <c r="T10" i="126" s="1"/>
  <c r="P9" i="72" s="1"/>
  <c r="Q54" i="115"/>
  <c r="S54" i="115" s="1"/>
  <c r="T54" i="115" s="1"/>
  <c r="H53" i="72" s="1"/>
  <c r="Q19" i="115"/>
  <c r="S19" i="115" s="1"/>
  <c r="T19" i="115" s="1"/>
  <c r="H18" i="72" s="1"/>
  <c r="Q68" i="116"/>
  <c r="S68" i="116" s="1"/>
  <c r="T68" i="116" s="1"/>
  <c r="I67" i="72" s="1"/>
  <c r="AI63" i="72"/>
  <c r="Q64" i="119"/>
  <c r="S64" i="119" s="1"/>
  <c r="T64" i="119" s="1"/>
  <c r="M63" i="72" s="1"/>
  <c r="AI26" i="72"/>
  <c r="Q27" i="119"/>
  <c r="S27" i="119" s="1"/>
  <c r="T27" i="119" s="1"/>
  <c r="M26" i="72" s="1"/>
  <c r="Q61" i="120"/>
  <c r="S61" i="120" s="1"/>
  <c r="T61" i="120" s="1"/>
  <c r="N60" i="72" s="1"/>
  <c r="AI36" i="72"/>
  <c r="Q37" i="119"/>
  <c r="S37" i="119" s="1"/>
  <c r="T37" i="119" s="1"/>
  <c r="M36" i="72" s="1"/>
  <c r="AC70" i="72"/>
  <c r="Q71" i="113"/>
  <c r="S71" i="113" s="1"/>
  <c r="T71" i="113" s="1"/>
  <c r="F70" i="72" s="1"/>
  <c r="AJ48" i="72"/>
  <c r="Q49" i="120"/>
  <c r="S49" i="120" s="1"/>
  <c r="T49" i="120" s="1"/>
  <c r="N48" i="72" s="1"/>
  <c r="H75" i="100"/>
  <c r="Q62" i="119"/>
  <c r="S62" i="119" s="1"/>
  <c r="T62" i="119" s="1"/>
  <c r="M61" i="72" s="1"/>
  <c r="AI61" i="72"/>
  <c r="Q52" i="120"/>
  <c r="S52" i="120" s="1"/>
  <c r="T52" i="120" s="1"/>
  <c r="N51" i="72" s="1"/>
  <c r="AG45" i="72"/>
  <c r="S46" i="117"/>
  <c r="U46" i="117" s="1"/>
  <c r="V46" i="117" s="1"/>
  <c r="K45" i="72" s="1"/>
  <c r="AC71" i="72"/>
  <c r="Q72" i="113"/>
  <c r="S72" i="113" s="1"/>
  <c r="T72" i="113" s="1"/>
  <c r="F71" i="72" s="1"/>
  <c r="Q43" i="119"/>
  <c r="S43" i="119" s="1"/>
  <c r="T43" i="119" s="1"/>
  <c r="M42" i="72" s="1"/>
  <c r="Q43" i="118"/>
  <c r="S43" i="118" s="1"/>
  <c r="T43" i="118" s="1"/>
  <c r="L42" i="72" s="1"/>
  <c r="S10" i="117"/>
  <c r="Q49" i="119"/>
  <c r="S49" i="119" s="1"/>
  <c r="T49" i="119" s="1"/>
  <c r="M48" i="72" s="1"/>
  <c r="S32" i="117"/>
  <c r="U32" i="117" s="1"/>
  <c r="V32" i="117" s="1"/>
  <c r="K31" i="72" s="1"/>
  <c r="S31" i="117"/>
  <c r="U31" i="117" s="1"/>
  <c r="V31" i="117" s="1"/>
  <c r="K30" i="72" s="1"/>
  <c r="AG30" i="72"/>
  <c r="AI14" i="72"/>
  <c r="P76" i="119"/>
  <c r="P76" i="118"/>
  <c r="Q72" i="115"/>
  <c r="S72" i="115" s="1"/>
  <c r="T72" i="115" s="1"/>
  <c r="H71" i="72" s="1"/>
  <c r="Q66" i="115"/>
  <c r="S66" i="115" s="1"/>
  <c r="T66" i="115" s="1"/>
  <c r="H65" i="72" s="1"/>
  <c r="Q23" i="115"/>
  <c r="S23" i="115" s="1"/>
  <c r="T23" i="115" s="1"/>
  <c r="H22" i="72" s="1"/>
  <c r="Q67" i="115"/>
  <c r="S67" i="115" s="1"/>
  <c r="T67" i="115" s="1"/>
  <c r="H66" i="72" s="1"/>
  <c r="P76" i="116"/>
  <c r="T18" i="46"/>
  <c r="F75" i="100"/>
  <c r="G75" i="100"/>
  <c r="AQ31" i="72"/>
  <c r="R29" i="76"/>
  <c r="T29" i="76" s="1"/>
  <c r="U29" i="76" s="1"/>
  <c r="U31" i="72" s="1"/>
  <c r="Q73" i="80"/>
  <c r="AR6" i="72"/>
  <c r="S53" i="117"/>
  <c r="U53" i="117" s="1"/>
  <c r="V53" i="117" s="1"/>
  <c r="K52" i="72" s="1"/>
  <c r="Q58" i="119"/>
  <c r="S58" i="119" s="1"/>
  <c r="T58" i="119" s="1"/>
  <c r="M57" i="72" s="1"/>
  <c r="AQ59" i="72"/>
  <c r="R57" i="76"/>
  <c r="T57" i="76" s="1"/>
  <c r="U57" i="76" s="1"/>
  <c r="U59" i="72" s="1"/>
  <c r="R53" i="76"/>
  <c r="T53" i="76" s="1"/>
  <c r="U53" i="76" s="1"/>
  <c r="U55" i="72" s="1"/>
  <c r="R7" i="76"/>
  <c r="Q73" i="76"/>
  <c r="R81" i="1"/>
  <c r="J78" i="25"/>
  <c r="S8" i="1"/>
  <c r="S77" i="1" s="1"/>
  <c r="G76" i="127"/>
  <c r="G76" i="131"/>
  <c r="H45" i="81"/>
  <c r="G45" i="81"/>
  <c r="G75" i="2"/>
  <c r="G76" i="128"/>
  <c r="G46" i="81"/>
  <c r="H46" i="81"/>
  <c r="H21" i="81"/>
  <c r="R47" i="1"/>
  <c r="AB47" i="1" s="1"/>
  <c r="G20" i="81"/>
  <c r="X12" i="72" l="1"/>
  <c r="X61" i="72"/>
  <c r="X45" i="72"/>
  <c r="X52" i="72"/>
  <c r="X63" i="72"/>
  <c r="X43" i="72"/>
  <c r="X71" i="72"/>
  <c r="X33" i="72"/>
  <c r="X44" i="72"/>
  <c r="X46" i="72"/>
  <c r="X57" i="72"/>
  <c r="X62" i="72"/>
  <c r="X26" i="72"/>
  <c r="X56" i="72"/>
  <c r="X17" i="72"/>
  <c r="X66" i="72"/>
  <c r="X25" i="72"/>
  <c r="X24" i="72"/>
  <c r="X36" i="72"/>
  <c r="X15" i="72"/>
  <c r="X69" i="72"/>
  <c r="X70" i="72"/>
  <c r="X74" i="72"/>
  <c r="X18" i="72"/>
  <c r="X21" i="72"/>
  <c r="X10" i="72"/>
  <c r="X8" i="72"/>
  <c r="X54" i="72"/>
  <c r="X19" i="72"/>
  <c r="X29" i="72"/>
  <c r="X47" i="72"/>
  <c r="X72" i="72"/>
  <c r="X65" i="72"/>
  <c r="X49" i="72"/>
  <c r="X42" i="72"/>
  <c r="X68" i="72"/>
  <c r="X14" i="72"/>
  <c r="X53" i="72"/>
  <c r="X11" i="72"/>
  <c r="X20" i="72"/>
  <c r="X34" i="72"/>
  <c r="X28" i="72"/>
  <c r="X31" i="72"/>
  <c r="X40" i="72"/>
  <c r="X50" i="72"/>
  <c r="X13" i="72"/>
  <c r="X59" i="72"/>
  <c r="X37" i="72"/>
  <c r="X35" i="72"/>
  <c r="X30" i="72"/>
  <c r="X48" i="72"/>
  <c r="X39" i="72"/>
  <c r="X16" i="72"/>
  <c r="X22" i="72"/>
  <c r="X51" i="72"/>
  <c r="X73" i="72"/>
  <c r="X27" i="72"/>
  <c r="X64" i="72"/>
  <c r="X38" i="72"/>
  <c r="X60" i="72"/>
  <c r="X58" i="72"/>
  <c r="X55" i="72"/>
  <c r="X32" i="72"/>
  <c r="X67" i="72"/>
  <c r="X23" i="72"/>
  <c r="X41" i="72"/>
  <c r="R38" i="46"/>
  <c r="D75" i="100"/>
  <c r="M34" i="67"/>
  <c r="N34" i="67" s="1"/>
  <c r="AR35" i="13"/>
  <c r="T72" i="1"/>
  <c r="AA72" i="1" s="1"/>
  <c r="L37" i="1"/>
  <c r="M37" i="1" s="1"/>
  <c r="N37" i="1" s="1"/>
  <c r="O37" i="1" s="1"/>
  <c r="P37" i="1" s="1"/>
  <c r="L13" i="1"/>
  <c r="M13" i="1" s="1"/>
  <c r="N13" i="1" s="1"/>
  <c r="O13" i="1" s="1"/>
  <c r="P13" i="1" s="1"/>
  <c r="R13" i="1" s="1"/>
  <c r="T13" i="1" s="1"/>
  <c r="U13" i="1" s="1"/>
  <c r="I11" i="2"/>
  <c r="L26" i="1"/>
  <c r="M26" i="1" s="1"/>
  <c r="N26" i="1" s="1"/>
  <c r="O26" i="1" s="1"/>
  <c r="P26" i="1" s="1"/>
  <c r="M28" i="67"/>
  <c r="N28" i="67" s="1"/>
  <c r="M12" i="67"/>
  <c r="N12" i="67" s="1"/>
  <c r="M15" i="67"/>
  <c r="N15" i="67" s="1"/>
  <c r="I24" i="2"/>
  <c r="AR26" i="13"/>
  <c r="AR57" i="13"/>
  <c r="M25" i="67"/>
  <c r="N25" i="67" s="1"/>
  <c r="M24" i="2"/>
  <c r="N24" i="2" s="1"/>
  <c r="AR29" i="13"/>
  <c r="R46" i="1"/>
  <c r="T46" i="1" s="1"/>
  <c r="M56" i="67"/>
  <c r="N56" i="67" s="1"/>
  <c r="M27" i="2"/>
  <c r="N27" i="2" s="1"/>
  <c r="R62" i="1"/>
  <c r="AB62" i="1" s="1"/>
  <c r="AR24" i="13"/>
  <c r="L24" i="1"/>
  <c r="M24" i="1" s="1"/>
  <c r="N24" i="1" s="1"/>
  <c r="O24" i="1" s="1"/>
  <c r="P24" i="1" s="1"/>
  <c r="M55" i="2"/>
  <c r="N55" i="2" s="1"/>
  <c r="AR62" i="13"/>
  <c r="AR63" i="13"/>
  <c r="M61" i="2"/>
  <c r="N61" i="2" s="1"/>
  <c r="I60" i="2"/>
  <c r="M22" i="2"/>
  <c r="N22" i="2" s="1"/>
  <c r="L57" i="1"/>
  <c r="M57" i="1" s="1"/>
  <c r="N57" i="1" s="1"/>
  <c r="O57" i="1" s="1"/>
  <c r="P57" i="1" s="1"/>
  <c r="M62" i="67"/>
  <c r="N62" i="67" s="1"/>
  <c r="AR73" i="13"/>
  <c r="L16" i="1"/>
  <c r="M16" i="1" s="1"/>
  <c r="N16" i="1" s="1"/>
  <c r="M35" i="2"/>
  <c r="N35" i="2" s="1"/>
  <c r="M72" i="67"/>
  <c r="N72" i="67" s="1"/>
  <c r="M11" i="2"/>
  <c r="N11" i="2" s="1"/>
  <c r="M14" i="2"/>
  <c r="N14" i="2" s="1"/>
  <c r="R35" i="1"/>
  <c r="T35" i="1" s="1"/>
  <c r="W35" i="1" s="1"/>
  <c r="AR16" i="13"/>
  <c r="L29" i="1"/>
  <c r="M29" i="1" s="1"/>
  <c r="N29" i="1" s="1"/>
  <c r="O29" i="1" s="1"/>
  <c r="P29" i="1" s="1"/>
  <c r="L73" i="1"/>
  <c r="M73" i="1" s="1"/>
  <c r="N73" i="1" s="1"/>
  <c r="O73" i="1" s="1"/>
  <c r="P73" i="1" s="1"/>
  <c r="M71" i="2"/>
  <c r="N71" i="2" s="1"/>
  <c r="AR13" i="13"/>
  <c r="M60" i="2"/>
  <c r="N60" i="2" s="1"/>
  <c r="M61" i="67"/>
  <c r="N61" i="67" s="1"/>
  <c r="M20" i="67"/>
  <c r="N20" i="67" s="1"/>
  <c r="M19" i="2"/>
  <c r="N19" i="2" s="1"/>
  <c r="I19" i="2"/>
  <c r="L21" i="1"/>
  <c r="M21" i="1" s="1"/>
  <c r="N21" i="1" s="1"/>
  <c r="O21" i="1" s="1"/>
  <c r="P21" i="1" s="1"/>
  <c r="AR21" i="13"/>
  <c r="R60" i="1"/>
  <c r="AB60" i="1" s="1"/>
  <c r="R75" i="1"/>
  <c r="AB75" i="1" s="1"/>
  <c r="I35" i="2"/>
  <c r="M36" i="67"/>
  <c r="N36" i="67" s="1"/>
  <c r="L53" i="1"/>
  <c r="M53" i="1" s="1"/>
  <c r="N53" i="1" s="1"/>
  <c r="O53" i="1" s="1"/>
  <c r="P53" i="1" s="1"/>
  <c r="M52" i="67"/>
  <c r="N52" i="67" s="1"/>
  <c r="M51" i="2"/>
  <c r="N51" i="2" s="1"/>
  <c r="I51" i="2"/>
  <c r="AR53" i="13"/>
  <c r="M9" i="2"/>
  <c r="N9" i="2" s="1"/>
  <c r="M10" i="67"/>
  <c r="N10" i="67" s="1"/>
  <c r="I9" i="2"/>
  <c r="R59" i="1"/>
  <c r="T59" i="1" s="1"/>
  <c r="X59" i="1" s="1"/>
  <c r="L11" i="1"/>
  <c r="M11" i="1" s="1"/>
  <c r="N11" i="1" s="1"/>
  <c r="O11" i="1" s="1"/>
  <c r="P11" i="1" s="1"/>
  <c r="M50" i="2"/>
  <c r="N50" i="2" s="1"/>
  <c r="AR52" i="13"/>
  <c r="L52" i="1"/>
  <c r="M52" i="1" s="1"/>
  <c r="N52" i="1" s="1"/>
  <c r="O52" i="1" s="1"/>
  <c r="P52" i="1" s="1"/>
  <c r="M51" i="67"/>
  <c r="N51" i="67" s="1"/>
  <c r="L31" i="1"/>
  <c r="M31" i="1" s="1"/>
  <c r="N31" i="1" s="1"/>
  <c r="O31" i="1" s="1"/>
  <c r="P31" i="1" s="1"/>
  <c r="M29" i="2"/>
  <c r="N29" i="2" s="1"/>
  <c r="M30" i="67"/>
  <c r="N30" i="67" s="1"/>
  <c r="AR31" i="13"/>
  <c r="M44" i="67"/>
  <c r="N44" i="67" s="1"/>
  <c r="L45" i="1"/>
  <c r="M45" i="1" s="1"/>
  <c r="N45" i="1" s="1"/>
  <c r="O45" i="1" s="1"/>
  <c r="P45" i="1" s="1"/>
  <c r="AR45" i="13"/>
  <c r="M43" i="2"/>
  <c r="N43" i="2" s="1"/>
  <c r="L8" i="1"/>
  <c r="M8" i="1" s="1"/>
  <c r="N8" i="1" s="1"/>
  <c r="O8" i="1" s="1"/>
  <c r="P8" i="1" s="1"/>
  <c r="AR8" i="13"/>
  <c r="I6" i="2"/>
  <c r="M6" i="2"/>
  <c r="N6" i="2" s="1"/>
  <c r="M7" i="67"/>
  <c r="N7" i="67" s="1"/>
  <c r="M38" i="67"/>
  <c r="N38" i="67" s="1"/>
  <c r="L39" i="1"/>
  <c r="M39" i="1" s="1"/>
  <c r="N39" i="1" s="1"/>
  <c r="O39" i="1" s="1"/>
  <c r="P39" i="1" s="1"/>
  <c r="M37" i="2"/>
  <c r="N37" i="2" s="1"/>
  <c r="AR39" i="13"/>
  <c r="I37" i="2"/>
  <c r="M13" i="67"/>
  <c r="N13" i="67" s="1"/>
  <c r="I12" i="2"/>
  <c r="M12" i="2"/>
  <c r="N12" i="2" s="1"/>
  <c r="L14" i="1"/>
  <c r="M14" i="1" s="1"/>
  <c r="N14" i="1" s="1"/>
  <c r="O14" i="1" s="1"/>
  <c r="P14" i="1" s="1"/>
  <c r="AR14" i="13"/>
  <c r="M16" i="67"/>
  <c r="N16" i="67" s="1"/>
  <c r="M15" i="2"/>
  <c r="N15" i="2" s="1"/>
  <c r="I15" i="2"/>
  <c r="AR17" i="13"/>
  <c r="L17" i="1"/>
  <c r="M17" i="1" s="1"/>
  <c r="N17" i="1" s="1"/>
  <c r="O17" i="1" s="1"/>
  <c r="P17" i="1" s="1"/>
  <c r="M11" i="67"/>
  <c r="N11" i="67" s="1"/>
  <c r="L12" i="1"/>
  <c r="M12" i="1" s="1"/>
  <c r="N12" i="1" s="1"/>
  <c r="O12" i="1" s="1"/>
  <c r="P12" i="1" s="1"/>
  <c r="AR12" i="13"/>
  <c r="M10" i="2"/>
  <c r="N10" i="2" s="1"/>
  <c r="I10" i="2"/>
  <c r="M42" i="67"/>
  <c r="N42" i="67" s="1"/>
  <c r="AR43" i="13"/>
  <c r="M41" i="2"/>
  <c r="N41" i="2" s="1"/>
  <c r="I41" i="2"/>
  <c r="L43" i="1"/>
  <c r="M43" i="1" s="1"/>
  <c r="N43" i="1" s="1"/>
  <c r="O43" i="1" s="1"/>
  <c r="P43" i="1" s="1"/>
  <c r="M50" i="67"/>
  <c r="N50" i="67" s="1"/>
  <c r="I49" i="2"/>
  <c r="L51" i="1"/>
  <c r="M51" i="1" s="1"/>
  <c r="N51" i="1" s="1"/>
  <c r="O51" i="1" s="1"/>
  <c r="P51" i="1" s="1"/>
  <c r="AR51" i="13"/>
  <c r="M49" i="2"/>
  <c r="N49" i="2" s="1"/>
  <c r="C77" i="1"/>
  <c r="E12" i="81" s="1"/>
  <c r="L30" i="1"/>
  <c r="M30" i="1" s="1"/>
  <c r="N30" i="1" s="1"/>
  <c r="O30" i="1" s="1"/>
  <c r="P30" i="1" s="1"/>
  <c r="M29" i="67"/>
  <c r="N29" i="67" s="1"/>
  <c r="M28" i="2"/>
  <c r="N28" i="2" s="1"/>
  <c r="I28" i="2"/>
  <c r="AR30" i="13"/>
  <c r="M33" i="67"/>
  <c r="N33" i="67" s="1"/>
  <c r="L34" i="1"/>
  <c r="M34" i="1" s="1"/>
  <c r="N34" i="1" s="1"/>
  <c r="O34" i="1" s="1"/>
  <c r="P34" i="1" s="1"/>
  <c r="I32" i="2"/>
  <c r="AR34" i="13"/>
  <c r="M32" i="2"/>
  <c r="N32" i="2" s="1"/>
  <c r="I38" i="2"/>
  <c r="M39" i="67"/>
  <c r="N39" i="67" s="1"/>
  <c r="M38" i="2"/>
  <c r="N38" i="2" s="1"/>
  <c r="L40" i="1"/>
  <c r="M40" i="1" s="1"/>
  <c r="N40" i="1" s="1"/>
  <c r="O40" i="1" s="1"/>
  <c r="P40" i="1" s="1"/>
  <c r="AR40" i="13"/>
  <c r="R65" i="1"/>
  <c r="M69" i="67"/>
  <c r="N69" i="67" s="1"/>
  <c r="AR70" i="13"/>
  <c r="L70" i="1"/>
  <c r="M70" i="1" s="1"/>
  <c r="N70" i="1" s="1"/>
  <c r="O70" i="1" s="1"/>
  <c r="P70" i="1" s="1"/>
  <c r="M68" i="2"/>
  <c r="N68" i="2" s="1"/>
  <c r="L55" i="1"/>
  <c r="M55" i="1" s="1"/>
  <c r="N55" i="1" s="1"/>
  <c r="O55" i="1" s="1"/>
  <c r="P55" i="1" s="1"/>
  <c r="M54" i="67"/>
  <c r="N54" i="67" s="1"/>
  <c r="AR55" i="13"/>
  <c r="M53" i="2"/>
  <c r="N53" i="2" s="1"/>
  <c r="I53" i="2"/>
  <c r="M37" i="67"/>
  <c r="N37" i="67" s="1"/>
  <c r="M36" i="2"/>
  <c r="N36" i="2" s="1"/>
  <c r="L38" i="1"/>
  <c r="M38" i="1" s="1"/>
  <c r="N38" i="1" s="1"/>
  <c r="O38" i="1" s="1"/>
  <c r="P38" i="1" s="1"/>
  <c r="AR38" i="13"/>
  <c r="I36" i="2"/>
  <c r="M75" i="67"/>
  <c r="N75" i="67" s="1"/>
  <c r="L76" i="1"/>
  <c r="M76" i="1" s="1"/>
  <c r="N76" i="1" s="1"/>
  <c r="O76" i="1" s="1"/>
  <c r="P76" i="1" s="1"/>
  <c r="AR76" i="13"/>
  <c r="D79" i="1"/>
  <c r="M74" i="2"/>
  <c r="N74" i="2" s="1"/>
  <c r="I74" i="2"/>
  <c r="M43" i="67"/>
  <c r="N43" i="67" s="1"/>
  <c r="L44" i="1"/>
  <c r="M44" i="1" s="1"/>
  <c r="N44" i="1" s="1"/>
  <c r="O44" i="1" s="1"/>
  <c r="P44" i="1" s="1"/>
  <c r="M42" i="2"/>
  <c r="N42" i="2" s="1"/>
  <c r="AR44" i="13"/>
  <c r="I42" i="2"/>
  <c r="M39" i="2"/>
  <c r="N39" i="2" s="1"/>
  <c r="M40" i="67"/>
  <c r="N40" i="67" s="1"/>
  <c r="I39" i="2"/>
  <c r="L41" i="1"/>
  <c r="M41" i="1" s="1"/>
  <c r="N41" i="1" s="1"/>
  <c r="O41" i="1" s="1"/>
  <c r="P41" i="1" s="1"/>
  <c r="AR41" i="13"/>
  <c r="M25" i="2"/>
  <c r="N25" i="2" s="1"/>
  <c r="L27" i="1"/>
  <c r="M27" i="1" s="1"/>
  <c r="N27" i="1" s="1"/>
  <c r="O27" i="1" s="1"/>
  <c r="P27" i="1" s="1"/>
  <c r="AR27" i="13"/>
  <c r="M26" i="67"/>
  <c r="N26" i="67" s="1"/>
  <c r="I8" i="2"/>
  <c r="M9" i="67"/>
  <c r="N9" i="67" s="1"/>
  <c r="L10" i="1"/>
  <c r="M10" i="1" s="1"/>
  <c r="N10" i="1" s="1"/>
  <c r="O10" i="1" s="1"/>
  <c r="P10" i="1" s="1"/>
  <c r="M8" i="2"/>
  <c r="N8" i="2" s="1"/>
  <c r="AR10" i="13"/>
  <c r="L68" i="1"/>
  <c r="M68" i="1" s="1"/>
  <c r="N68" i="1" s="1"/>
  <c r="O68" i="1" s="1"/>
  <c r="P68" i="1" s="1"/>
  <c r="M67" i="67"/>
  <c r="N67" i="67" s="1"/>
  <c r="AR68" i="13"/>
  <c r="M66" i="2"/>
  <c r="N66" i="2" s="1"/>
  <c r="I66" i="2"/>
  <c r="M46" i="2"/>
  <c r="N46" i="2" s="1"/>
  <c r="M47" i="67"/>
  <c r="N47" i="67" s="1"/>
  <c r="L48" i="1"/>
  <c r="M48" i="1" s="1"/>
  <c r="N48" i="1" s="1"/>
  <c r="O48" i="1" s="1"/>
  <c r="P48" i="1" s="1"/>
  <c r="AR48" i="13"/>
  <c r="I46" i="2"/>
  <c r="L32" i="1"/>
  <c r="M32" i="1" s="1"/>
  <c r="N32" i="1" s="1"/>
  <c r="O32" i="1" s="1"/>
  <c r="P32" i="1" s="1"/>
  <c r="M30" i="2"/>
  <c r="N30" i="2" s="1"/>
  <c r="M31" i="67"/>
  <c r="N31" i="67" s="1"/>
  <c r="AR32" i="13"/>
  <c r="I30" i="2"/>
  <c r="L15" i="1"/>
  <c r="M15" i="1" s="1"/>
  <c r="N15" i="1" s="1"/>
  <c r="O15" i="1" s="1"/>
  <c r="P15" i="1" s="1"/>
  <c r="M13" i="2"/>
  <c r="N13" i="2" s="1"/>
  <c r="M14" i="67"/>
  <c r="N14" i="67" s="1"/>
  <c r="AR15" i="13"/>
  <c r="I13" i="2"/>
  <c r="M64" i="2"/>
  <c r="N64" i="2" s="1"/>
  <c r="I64" i="2"/>
  <c r="L66" i="1"/>
  <c r="M66" i="1" s="1"/>
  <c r="N66" i="1" s="1"/>
  <c r="O66" i="1" s="1"/>
  <c r="P66" i="1" s="1"/>
  <c r="M65" i="67"/>
  <c r="N65" i="67" s="1"/>
  <c r="AR66" i="13"/>
  <c r="M52" i="2"/>
  <c r="N52" i="2" s="1"/>
  <c r="M53" i="67"/>
  <c r="N53" i="67" s="1"/>
  <c r="L54" i="1"/>
  <c r="M54" i="1" s="1"/>
  <c r="N54" i="1" s="1"/>
  <c r="O54" i="1" s="1"/>
  <c r="P54" i="1" s="1"/>
  <c r="AR54" i="13"/>
  <c r="M27" i="67"/>
  <c r="N27" i="67" s="1"/>
  <c r="L28" i="1"/>
  <c r="M28" i="1" s="1"/>
  <c r="N28" i="1" s="1"/>
  <c r="O28" i="1" s="1"/>
  <c r="P28" i="1" s="1"/>
  <c r="M26" i="2"/>
  <c r="N26" i="2" s="1"/>
  <c r="AR28" i="13"/>
  <c r="I26" i="2"/>
  <c r="M56" i="2"/>
  <c r="N56" i="2" s="1"/>
  <c r="L58" i="1"/>
  <c r="M58" i="1" s="1"/>
  <c r="N58" i="1" s="1"/>
  <c r="O58" i="1" s="1"/>
  <c r="P58" i="1" s="1"/>
  <c r="M57" i="67"/>
  <c r="N57" i="67" s="1"/>
  <c r="AR58" i="13"/>
  <c r="I56" i="2"/>
  <c r="M7" i="2"/>
  <c r="N7" i="2" s="1"/>
  <c r="M8" i="67"/>
  <c r="N8" i="67" s="1"/>
  <c r="L9" i="1"/>
  <c r="M9" i="1" s="1"/>
  <c r="N9" i="1" s="1"/>
  <c r="O9" i="1" s="1"/>
  <c r="P9" i="1" s="1"/>
  <c r="AR9" i="13"/>
  <c r="I7" i="2"/>
  <c r="L36" i="1"/>
  <c r="M36" i="1" s="1"/>
  <c r="N36" i="1" s="1"/>
  <c r="O36" i="1" s="1"/>
  <c r="P36" i="1" s="1"/>
  <c r="M34" i="2"/>
  <c r="N34" i="2" s="1"/>
  <c r="AR36" i="13"/>
  <c r="M35" i="67"/>
  <c r="N35" i="67" s="1"/>
  <c r="I34" i="2"/>
  <c r="M20" i="2"/>
  <c r="N20" i="2" s="1"/>
  <c r="L22" i="1"/>
  <c r="M22" i="1" s="1"/>
  <c r="N22" i="1" s="1"/>
  <c r="O22" i="1" s="1"/>
  <c r="P22" i="1" s="1"/>
  <c r="AR22" i="13"/>
  <c r="M21" i="67"/>
  <c r="N21" i="67" s="1"/>
  <c r="M54" i="2"/>
  <c r="N54" i="2" s="1"/>
  <c r="L56" i="1"/>
  <c r="M56" i="1" s="1"/>
  <c r="N56" i="1" s="1"/>
  <c r="O56" i="1" s="1"/>
  <c r="P56" i="1" s="1"/>
  <c r="M55" i="67"/>
  <c r="N55" i="67" s="1"/>
  <c r="AR56" i="13"/>
  <c r="I54" i="2"/>
  <c r="M72" i="2"/>
  <c r="N72" i="2" s="1"/>
  <c r="M73" i="67"/>
  <c r="N73" i="67" s="1"/>
  <c r="I72" i="2"/>
  <c r="AR74" i="13"/>
  <c r="L74" i="1"/>
  <c r="M74" i="1" s="1"/>
  <c r="N74" i="1" s="1"/>
  <c r="O74" i="1" s="1"/>
  <c r="P74" i="1" s="1"/>
  <c r="L42" i="1"/>
  <c r="M42" i="1" s="1"/>
  <c r="N42" i="1" s="1"/>
  <c r="O42" i="1" s="1"/>
  <c r="P42" i="1" s="1"/>
  <c r="M41" i="67"/>
  <c r="N41" i="67" s="1"/>
  <c r="AR42" i="13"/>
  <c r="M40" i="2"/>
  <c r="N40" i="2" s="1"/>
  <c r="I40" i="2"/>
  <c r="I17" i="2"/>
  <c r="AR19" i="13"/>
  <c r="L19" i="1"/>
  <c r="M19" i="1" s="1"/>
  <c r="N19" i="1" s="1"/>
  <c r="O19" i="1" s="1"/>
  <c r="P19" i="1" s="1"/>
  <c r="M17" i="2"/>
  <c r="N17" i="2" s="1"/>
  <c r="M18" i="67"/>
  <c r="N18" i="67" s="1"/>
  <c r="R63" i="1"/>
  <c r="AB63" i="1" s="1"/>
  <c r="L25" i="1"/>
  <c r="M25" i="1" s="1"/>
  <c r="N25" i="1" s="1"/>
  <c r="O25" i="1" s="1"/>
  <c r="P25" i="1" s="1"/>
  <c r="I23" i="2"/>
  <c r="AR25" i="13"/>
  <c r="M24" i="67"/>
  <c r="N24" i="67" s="1"/>
  <c r="M23" i="2"/>
  <c r="N23" i="2" s="1"/>
  <c r="M67" i="2"/>
  <c r="N67" i="2" s="1"/>
  <c r="M68" i="67"/>
  <c r="N68" i="67" s="1"/>
  <c r="L69" i="1"/>
  <c r="M69" i="1" s="1"/>
  <c r="N69" i="1" s="1"/>
  <c r="O69" i="1" s="1"/>
  <c r="P69" i="1" s="1"/>
  <c r="AR69" i="13"/>
  <c r="I67" i="2"/>
  <c r="M65" i="2"/>
  <c r="N65" i="2" s="1"/>
  <c r="M66" i="67"/>
  <c r="N66" i="67" s="1"/>
  <c r="L67" i="1"/>
  <c r="M67" i="1" s="1"/>
  <c r="N67" i="1" s="1"/>
  <c r="O67" i="1" s="1"/>
  <c r="P67" i="1" s="1"/>
  <c r="AR67" i="13"/>
  <c r="I65" i="2"/>
  <c r="M59" i="2"/>
  <c r="N59" i="2" s="1"/>
  <c r="M60" i="67"/>
  <c r="N60" i="67" s="1"/>
  <c r="L61" i="1"/>
  <c r="M61" i="1" s="1"/>
  <c r="N61" i="1" s="1"/>
  <c r="O61" i="1" s="1"/>
  <c r="P61" i="1" s="1"/>
  <c r="AR61" i="13"/>
  <c r="I59" i="2"/>
  <c r="L71" i="1"/>
  <c r="M71" i="1" s="1"/>
  <c r="N71" i="1" s="1"/>
  <c r="O71" i="1" s="1"/>
  <c r="P71" i="1" s="1"/>
  <c r="I69" i="2"/>
  <c r="AR71" i="13"/>
  <c r="M70" i="67"/>
  <c r="N70" i="67" s="1"/>
  <c r="M69" i="2"/>
  <c r="N69" i="2" s="1"/>
  <c r="L50" i="1"/>
  <c r="M50" i="1" s="1"/>
  <c r="N50" i="1" s="1"/>
  <c r="O50" i="1" s="1"/>
  <c r="P50" i="1" s="1"/>
  <c r="M48" i="2"/>
  <c r="N48" i="2" s="1"/>
  <c r="AR50" i="13"/>
  <c r="I48" i="2"/>
  <c r="M49" i="67"/>
  <c r="N49" i="67" s="1"/>
  <c r="M17" i="67"/>
  <c r="N17" i="67" s="1"/>
  <c r="L18" i="1"/>
  <c r="M18" i="1" s="1"/>
  <c r="N18" i="1" s="1"/>
  <c r="O18" i="1" s="1"/>
  <c r="P18" i="1" s="1"/>
  <c r="M16" i="2"/>
  <c r="N16" i="2" s="1"/>
  <c r="I16" i="2"/>
  <c r="AR18" i="13"/>
  <c r="M18" i="2"/>
  <c r="N18" i="2" s="1"/>
  <c r="AR20" i="13"/>
  <c r="I18" i="2"/>
  <c r="M19" i="67"/>
  <c r="N19" i="67" s="1"/>
  <c r="L20" i="1"/>
  <c r="M20" i="1" s="1"/>
  <c r="N20" i="1" s="1"/>
  <c r="O20" i="1" s="1"/>
  <c r="P20" i="1" s="1"/>
  <c r="M48" i="67"/>
  <c r="N48" i="67" s="1"/>
  <c r="L49" i="1"/>
  <c r="M49" i="1" s="1"/>
  <c r="N49" i="1" s="1"/>
  <c r="O49" i="1" s="1"/>
  <c r="P49" i="1" s="1"/>
  <c r="M47" i="2"/>
  <c r="N47" i="2" s="1"/>
  <c r="AR49" i="13"/>
  <c r="I47" i="2"/>
  <c r="M32" i="67"/>
  <c r="N32" i="67" s="1"/>
  <c r="AR33" i="13"/>
  <c r="L33" i="1"/>
  <c r="M33" i="1" s="1"/>
  <c r="N33" i="1" s="1"/>
  <c r="O33" i="1" s="1"/>
  <c r="P33" i="1" s="1"/>
  <c r="M31" i="2"/>
  <c r="N31" i="2" s="1"/>
  <c r="S44" i="46"/>
  <c r="S76" i="125"/>
  <c r="AF75" i="72"/>
  <c r="AQ75" i="72"/>
  <c r="Z75" i="72"/>
  <c r="AK75" i="72"/>
  <c r="AE75" i="72"/>
  <c r="AJ75" i="72"/>
  <c r="AI75" i="72"/>
  <c r="AH75" i="72"/>
  <c r="AG75" i="72"/>
  <c r="AD75" i="72"/>
  <c r="N69" i="31"/>
  <c r="N70" i="31" s="1"/>
  <c r="AB41" i="72" s="1"/>
  <c r="AB75" i="72" s="1"/>
  <c r="M69" i="31"/>
  <c r="M9" i="31" s="1"/>
  <c r="O9" i="31" s="1"/>
  <c r="P9" i="31" s="1"/>
  <c r="R9" i="31" s="1"/>
  <c r="S9" i="31" s="1"/>
  <c r="G72" i="31"/>
  <c r="O46" i="31"/>
  <c r="P46" i="31" s="1"/>
  <c r="R46" i="31" s="1"/>
  <c r="S46" i="31" s="1"/>
  <c r="O37" i="31"/>
  <c r="P37" i="31" s="1"/>
  <c r="R37" i="31" s="1"/>
  <c r="S37" i="31" s="1"/>
  <c r="O28" i="31"/>
  <c r="P28" i="31" s="1"/>
  <c r="R28" i="31" s="1"/>
  <c r="S28" i="31" s="1"/>
  <c r="O60" i="31"/>
  <c r="P60" i="31" s="1"/>
  <c r="R60" i="31" s="1"/>
  <c r="S60" i="31" s="1"/>
  <c r="O40" i="31"/>
  <c r="P40" i="31" s="1"/>
  <c r="R40" i="31" s="1"/>
  <c r="S40" i="31" s="1"/>
  <c r="H76" i="33"/>
  <c r="G69" i="81"/>
  <c r="H69" i="81"/>
  <c r="G76" i="33"/>
  <c r="T7" i="76"/>
  <c r="R73" i="76"/>
  <c r="Q75" i="80"/>
  <c r="R75" i="80" s="1"/>
  <c r="T75" i="80" s="1"/>
  <c r="T76" i="119"/>
  <c r="T30" i="46"/>
  <c r="T38" i="46" s="1"/>
  <c r="U29" i="46"/>
  <c r="S57" i="31"/>
  <c r="L6" i="72"/>
  <c r="L75" i="72" s="1"/>
  <c r="T76" i="118"/>
  <c r="Q76" i="131"/>
  <c r="AN75" i="72"/>
  <c r="R73" i="80"/>
  <c r="Q76" i="119"/>
  <c r="U10" i="117"/>
  <c r="S76" i="117"/>
  <c r="S76" i="119"/>
  <c r="M75" i="72"/>
  <c r="P13" i="31"/>
  <c r="Q76" i="120"/>
  <c r="S76" i="131"/>
  <c r="T7" i="131"/>
  <c r="AL75" i="72"/>
  <c r="S76" i="116"/>
  <c r="T7" i="116"/>
  <c r="T8" i="115"/>
  <c r="S76" i="115"/>
  <c r="Q77" i="114"/>
  <c r="Q76" i="125"/>
  <c r="S7" i="127"/>
  <c r="Q76" i="127"/>
  <c r="Q76" i="113"/>
  <c r="S76" i="120"/>
  <c r="T7" i="120"/>
  <c r="T10" i="128"/>
  <c r="S76" i="128"/>
  <c r="AO75" i="72"/>
  <c r="W17" i="46"/>
  <c r="U18" i="46"/>
  <c r="S7" i="129"/>
  <c r="Q76" i="129"/>
  <c r="S7" i="126"/>
  <c r="Q76" i="126"/>
  <c r="Q76" i="116"/>
  <c r="K6" i="72"/>
  <c r="Q75" i="76"/>
  <c r="Q77" i="76" s="1"/>
  <c r="Q76" i="118"/>
  <c r="AR75" i="72"/>
  <c r="Q76" i="115"/>
  <c r="AP75" i="72"/>
  <c r="T76" i="125"/>
  <c r="O6" i="72"/>
  <c r="O75" i="72" s="1"/>
  <c r="S77" i="114"/>
  <c r="T7" i="114"/>
  <c r="R42" i="46"/>
  <c r="T42" i="46" s="1"/>
  <c r="R43" i="46"/>
  <c r="AM75" i="72"/>
  <c r="U6" i="72"/>
  <c r="T7" i="113"/>
  <c r="S76" i="113"/>
  <c r="AC75" i="72"/>
  <c r="Q76" i="128"/>
  <c r="S76" i="118"/>
  <c r="T73" i="80"/>
  <c r="U4" i="80"/>
  <c r="T47" i="1"/>
  <c r="X47" i="1" s="1"/>
  <c r="T23" i="1"/>
  <c r="AB23" i="1"/>
  <c r="T64" i="1"/>
  <c r="AB64" i="1"/>
  <c r="AB13" i="1" l="1"/>
  <c r="W72" i="1"/>
  <c r="X72" i="1"/>
  <c r="Z72" i="1"/>
  <c r="AC72" i="1" s="1"/>
  <c r="U72" i="1"/>
  <c r="R26" i="1"/>
  <c r="AB26" i="1" s="1"/>
  <c r="AB46" i="1"/>
  <c r="T62" i="1"/>
  <c r="Z62" i="1" s="1"/>
  <c r="AC62" i="1" s="1"/>
  <c r="T63" i="1"/>
  <c r="U63" i="1" s="1"/>
  <c r="V63" i="1" s="1"/>
  <c r="R37" i="1"/>
  <c r="AB35" i="1"/>
  <c r="X35" i="1"/>
  <c r="Z35" i="1"/>
  <c r="R24" i="1"/>
  <c r="T24" i="1" s="1"/>
  <c r="AA35" i="1"/>
  <c r="R57" i="1"/>
  <c r="U35" i="1"/>
  <c r="V35" i="1" s="1"/>
  <c r="AR77" i="13"/>
  <c r="R73" i="1"/>
  <c r="AA59" i="1"/>
  <c r="T60" i="1"/>
  <c r="R29" i="1"/>
  <c r="W59" i="1"/>
  <c r="I75" i="2"/>
  <c r="J4" i="2" s="1"/>
  <c r="J64" i="2" s="1"/>
  <c r="O64" i="2" s="1"/>
  <c r="R8" i="1"/>
  <c r="AB8" i="1" s="1"/>
  <c r="Z59" i="1"/>
  <c r="T75" i="1"/>
  <c r="W75" i="1" s="1"/>
  <c r="L77" i="1"/>
  <c r="R52" i="1"/>
  <c r="U59" i="1"/>
  <c r="V59" i="1" s="1"/>
  <c r="R45" i="1"/>
  <c r="AB59" i="1"/>
  <c r="N75" i="2"/>
  <c r="E42" i="81" s="1"/>
  <c r="G42" i="81" s="1"/>
  <c r="R31" i="1"/>
  <c r="R11" i="1"/>
  <c r="R53" i="1"/>
  <c r="R21" i="1"/>
  <c r="J10" i="2"/>
  <c r="O10" i="2" s="1"/>
  <c r="R17" i="1"/>
  <c r="R14" i="1"/>
  <c r="R32" i="1"/>
  <c r="R20" i="1"/>
  <c r="R28" i="1"/>
  <c r="R38" i="1"/>
  <c r="R55" i="1"/>
  <c r="R30" i="1"/>
  <c r="R12" i="1"/>
  <c r="R39" i="1"/>
  <c r="Z47" i="1"/>
  <c r="AC47" i="1" s="1"/>
  <c r="AS47" i="1" s="1"/>
  <c r="L46" i="67" s="1"/>
  <c r="O46" i="67" s="1"/>
  <c r="P46" i="67" s="1"/>
  <c r="R61" i="1"/>
  <c r="R48" i="1"/>
  <c r="AB65" i="1"/>
  <c r="T65" i="1"/>
  <c r="R34" i="1"/>
  <c r="M76" i="67"/>
  <c r="R33" i="1"/>
  <c r="R71" i="1"/>
  <c r="R25" i="1"/>
  <c r="R74" i="1"/>
  <c r="R36" i="1"/>
  <c r="R9" i="1"/>
  <c r="R58" i="1"/>
  <c r="R66" i="1"/>
  <c r="R15" i="1"/>
  <c r="R68" i="1"/>
  <c r="R10" i="1"/>
  <c r="R27" i="1"/>
  <c r="R41" i="1"/>
  <c r="R51" i="1"/>
  <c r="R43" i="1"/>
  <c r="R18" i="1"/>
  <c r="R42" i="1"/>
  <c r="R70" i="1"/>
  <c r="R49" i="1"/>
  <c r="R69" i="1"/>
  <c r="R40" i="1"/>
  <c r="T77" i="80"/>
  <c r="N76" i="67"/>
  <c r="M75" i="2"/>
  <c r="R50" i="1"/>
  <c r="R67" i="1"/>
  <c r="R19" i="1"/>
  <c r="R56" i="1"/>
  <c r="R22" i="1"/>
  <c r="R54" i="1"/>
  <c r="R44" i="1"/>
  <c r="R76" i="1"/>
  <c r="AA47" i="1"/>
  <c r="E19" i="81"/>
  <c r="G12" i="81"/>
  <c r="H12" i="81"/>
  <c r="O16" i="1"/>
  <c r="N77" i="1"/>
  <c r="E24" i="81" s="1"/>
  <c r="E10" i="81" s="1"/>
  <c r="Q75" i="2"/>
  <c r="E40" i="81" s="1"/>
  <c r="G40" i="81" s="1"/>
  <c r="T44" i="46"/>
  <c r="R77" i="80"/>
  <c r="O69" i="31"/>
  <c r="O70" i="31" s="1"/>
  <c r="M70" i="31"/>
  <c r="H7" i="72"/>
  <c r="T76" i="115"/>
  <c r="R13" i="31"/>
  <c r="P69" i="31"/>
  <c r="P70" i="31" s="1"/>
  <c r="T77" i="114"/>
  <c r="G6" i="72"/>
  <c r="G75" i="72" s="1"/>
  <c r="T7" i="129"/>
  <c r="S76" i="129"/>
  <c r="S76" i="127"/>
  <c r="T7" i="127"/>
  <c r="I6" i="72"/>
  <c r="I75" i="72" s="1"/>
  <c r="T76" i="116"/>
  <c r="V10" i="117"/>
  <c r="U76" i="117"/>
  <c r="U7" i="76"/>
  <c r="T73" i="76"/>
  <c r="T76" i="113"/>
  <c r="F6" i="72"/>
  <c r="T75" i="76"/>
  <c r="R75" i="76"/>
  <c r="R77" i="76" s="1"/>
  <c r="R9" i="72"/>
  <c r="R75" i="72" s="1"/>
  <c r="T76" i="128"/>
  <c r="T6" i="72"/>
  <c r="T75" i="72" s="1"/>
  <c r="T76" i="131"/>
  <c r="Q77" i="80"/>
  <c r="V6" i="72"/>
  <c r="V75" i="72" s="1"/>
  <c r="U73" i="80"/>
  <c r="R44" i="46"/>
  <c r="T7" i="126"/>
  <c r="S76" i="126"/>
  <c r="X17" i="46"/>
  <c r="X18" i="46" s="1"/>
  <c r="W18" i="46"/>
  <c r="T76" i="120"/>
  <c r="N6" i="72"/>
  <c r="N75" i="72" s="1"/>
  <c r="W29" i="46"/>
  <c r="U30" i="46"/>
  <c r="U38" i="46" s="1"/>
  <c r="U47" i="1"/>
  <c r="W47" i="1"/>
  <c r="U23" i="1"/>
  <c r="X23" i="1"/>
  <c r="W23" i="1"/>
  <c r="AA23" i="1"/>
  <c r="Z23" i="1"/>
  <c r="AC23" i="1" s="1"/>
  <c r="V13" i="1"/>
  <c r="AA46" i="1"/>
  <c r="Z46" i="1"/>
  <c r="W46" i="1"/>
  <c r="X46" i="1"/>
  <c r="Z64" i="1"/>
  <c r="AC64" i="1" s="1"/>
  <c r="W64" i="1"/>
  <c r="AA64" i="1"/>
  <c r="X64" i="1"/>
  <c r="AA13" i="1"/>
  <c r="W13" i="1"/>
  <c r="X13" i="1"/>
  <c r="Z13" i="1"/>
  <c r="U64" i="1"/>
  <c r="U46" i="1"/>
  <c r="F75" i="72" l="1"/>
  <c r="H75" i="72"/>
  <c r="X7" i="72"/>
  <c r="AC13" i="1"/>
  <c r="AD72" i="1"/>
  <c r="AE72" i="1" s="1"/>
  <c r="AS72" i="1"/>
  <c r="L71" i="67" s="1"/>
  <c r="O71" i="67" s="1"/>
  <c r="P71" i="67" s="1"/>
  <c r="AC46" i="1"/>
  <c r="AD46" i="1" s="1"/>
  <c r="AE46" i="1" s="1"/>
  <c r="V72" i="1"/>
  <c r="T26" i="1"/>
  <c r="X26" i="1" s="1"/>
  <c r="W62" i="1"/>
  <c r="AA62" i="1"/>
  <c r="W63" i="1"/>
  <c r="U62" i="1"/>
  <c r="V62" i="1" s="1"/>
  <c r="X62" i="1"/>
  <c r="AA63" i="1"/>
  <c r="X63" i="1"/>
  <c r="J74" i="2"/>
  <c r="O74" i="2" s="1"/>
  <c r="AI76" i="1" s="1"/>
  <c r="AJ76" i="1" s="1"/>
  <c r="AC35" i="1"/>
  <c r="AS35" i="1" s="1"/>
  <c r="AT35" i="1" s="1"/>
  <c r="AB24" i="1"/>
  <c r="T37" i="1"/>
  <c r="AB37" i="1"/>
  <c r="J37" i="2"/>
  <c r="O37" i="2" s="1"/>
  <c r="R37" i="2" s="1"/>
  <c r="AM39" i="1" s="1"/>
  <c r="AN39" i="1" s="1"/>
  <c r="Z63" i="1"/>
  <c r="AC63" i="1" s="1"/>
  <c r="AS63" i="1" s="1"/>
  <c r="AT63" i="1" s="1"/>
  <c r="J15" i="2"/>
  <c r="O15" i="2" s="1"/>
  <c r="AI17" i="1" s="1"/>
  <c r="AJ17" i="1" s="1"/>
  <c r="J17" i="2"/>
  <c r="O17" i="2" s="1"/>
  <c r="AI19" i="1" s="1"/>
  <c r="AJ19" i="1" s="1"/>
  <c r="J61" i="2"/>
  <c r="O61" i="2" s="1"/>
  <c r="R61" i="2" s="1"/>
  <c r="AM63" i="1" s="1"/>
  <c r="AN63" i="1" s="1"/>
  <c r="J53" i="2"/>
  <c r="O53" i="2" s="1"/>
  <c r="R53" i="2" s="1"/>
  <c r="AM55" i="1" s="1"/>
  <c r="AN55" i="1" s="1"/>
  <c r="AD47" i="1"/>
  <c r="AE47" i="1" s="1"/>
  <c r="AF47" i="1" s="1"/>
  <c r="J72" i="2"/>
  <c r="O72" i="2" s="1"/>
  <c r="AI74" i="1" s="1"/>
  <c r="AJ74" i="1" s="1"/>
  <c r="J31" i="2"/>
  <c r="O31" i="2" s="1"/>
  <c r="R31" i="2" s="1"/>
  <c r="AM33" i="1" s="1"/>
  <c r="AN33" i="1" s="1"/>
  <c r="J46" i="2"/>
  <c r="O46" i="2" s="1"/>
  <c r="R46" i="2" s="1"/>
  <c r="AM48" i="1" s="1"/>
  <c r="AN48" i="1" s="1"/>
  <c r="J58" i="2"/>
  <c r="O58" i="2" s="1"/>
  <c r="R58" i="2" s="1"/>
  <c r="AM60" i="1" s="1"/>
  <c r="AN60" i="1" s="1"/>
  <c r="J11" i="2"/>
  <c r="O11" i="2" s="1"/>
  <c r="AI13" i="1" s="1"/>
  <c r="AJ13" i="1" s="1"/>
  <c r="J42" i="2"/>
  <c r="O42" i="2" s="1"/>
  <c r="R42" i="2" s="1"/>
  <c r="AM44" i="1" s="1"/>
  <c r="AN44" i="1" s="1"/>
  <c r="AC59" i="1"/>
  <c r="AD59" i="1" s="1"/>
  <c r="AE59" i="1" s="1"/>
  <c r="AG59" i="1" s="1"/>
  <c r="T57" i="1"/>
  <c r="U57" i="1" s="1"/>
  <c r="AB57" i="1"/>
  <c r="J18" i="2"/>
  <c r="O18" i="2" s="1"/>
  <c r="AI20" i="1" s="1"/>
  <c r="AJ20" i="1" s="1"/>
  <c r="J28" i="2"/>
  <c r="O28" i="2" s="1"/>
  <c r="R28" i="2" s="1"/>
  <c r="AM30" i="1" s="1"/>
  <c r="AN30" i="1" s="1"/>
  <c r="J23" i="2"/>
  <c r="O23" i="2" s="1"/>
  <c r="AI25" i="1" s="1"/>
  <c r="AJ25" i="1" s="1"/>
  <c r="J30" i="2"/>
  <c r="O30" i="2" s="1"/>
  <c r="R30" i="2" s="1"/>
  <c r="AM32" i="1" s="1"/>
  <c r="AN32" i="1" s="1"/>
  <c r="J34" i="2"/>
  <c r="O34" i="2" s="1"/>
  <c r="AI36" i="1" s="1"/>
  <c r="AJ36" i="1" s="1"/>
  <c r="J50" i="2"/>
  <c r="O50" i="2" s="1"/>
  <c r="R50" i="2" s="1"/>
  <c r="AM52" i="1" s="1"/>
  <c r="AN52" i="1" s="1"/>
  <c r="U75" i="1"/>
  <c r="J13" i="2"/>
  <c r="O13" i="2" s="1"/>
  <c r="J48" i="2"/>
  <c r="O48" i="2" s="1"/>
  <c r="AI50" i="1" s="1"/>
  <c r="AJ50" i="1" s="1"/>
  <c r="J68" i="2"/>
  <c r="O68" i="2" s="1"/>
  <c r="R68" i="2" s="1"/>
  <c r="AM70" i="1" s="1"/>
  <c r="AN70" i="1" s="1"/>
  <c r="J60" i="2"/>
  <c r="O60" i="2" s="1"/>
  <c r="AI62" i="1" s="1"/>
  <c r="AJ62" i="1" s="1"/>
  <c r="J26" i="2"/>
  <c r="O26" i="2" s="1"/>
  <c r="R26" i="2" s="1"/>
  <c r="AM28" i="1" s="1"/>
  <c r="AN28" i="1" s="1"/>
  <c r="J35" i="2"/>
  <c r="O35" i="2" s="1"/>
  <c r="R35" i="2" s="1"/>
  <c r="AM37" i="1" s="1"/>
  <c r="AN37" i="1" s="1"/>
  <c r="J69" i="2"/>
  <c r="O69" i="2" s="1"/>
  <c r="AI71" i="1" s="1"/>
  <c r="AJ71" i="1" s="1"/>
  <c r="T29" i="1"/>
  <c r="AB29" i="1"/>
  <c r="X75" i="1"/>
  <c r="U60" i="1"/>
  <c r="AA60" i="1"/>
  <c r="J52" i="2"/>
  <c r="O52" i="2" s="1"/>
  <c r="R52" i="2" s="1"/>
  <c r="AM54" i="1" s="1"/>
  <c r="AN54" i="1" s="1"/>
  <c r="J22" i="2"/>
  <c r="O22" i="2" s="1"/>
  <c r="J70" i="2"/>
  <c r="O70" i="2" s="1"/>
  <c r="AI72" i="1" s="1"/>
  <c r="AJ72" i="1" s="1"/>
  <c r="J65" i="2"/>
  <c r="O65" i="2" s="1"/>
  <c r="R65" i="2" s="1"/>
  <c r="AM67" i="1" s="1"/>
  <c r="AN67" i="1" s="1"/>
  <c r="J27" i="2"/>
  <c r="O27" i="2" s="1"/>
  <c r="R27" i="2" s="1"/>
  <c r="AM29" i="1" s="1"/>
  <c r="AN29" i="1" s="1"/>
  <c r="J36" i="2"/>
  <c r="O36" i="2" s="1"/>
  <c r="J51" i="2"/>
  <c r="O51" i="2" s="1"/>
  <c r="R51" i="2" s="1"/>
  <c r="AM53" i="1" s="1"/>
  <c r="AN53" i="1" s="1"/>
  <c r="J62" i="2"/>
  <c r="O62" i="2" s="1"/>
  <c r="J39" i="2"/>
  <c r="O39" i="2" s="1"/>
  <c r="R39" i="2" s="1"/>
  <c r="AM41" i="1" s="1"/>
  <c r="AN41" i="1" s="1"/>
  <c r="J38" i="2"/>
  <c r="O38" i="2" s="1"/>
  <c r="AI40" i="1" s="1"/>
  <c r="AJ40" i="1" s="1"/>
  <c r="T73" i="1"/>
  <c r="AB73" i="1"/>
  <c r="Z75" i="1"/>
  <c r="AC75" i="1" s="1"/>
  <c r="AS75" i="1" s="1"/>
  <c r="J54" i="2"/>
  <c r="O54" i="2" s="1"/>
  <c r="J9" i="2"/>
  <c r="O9" i="2" s="1"/>
  <c r="AI11" i="1" s="1"/>
  <c r="AJ11" i="1" s="1"/>
  <c r="J32" i="2"/>
  <c r="O32" i="2" s="1"/>
  <c r="AI34" i="1" s="1"/>
  <c r="AJ34" i="1" s="1"/>
  <c r="H42" i="81"/>
  <c r="Z60" i="1"/>
  <c r="AC60" i="1" s="1"/>
  <c r="W60" i="1"/>
  <c r="J45" i="2"/>
  <c r="O45" i="2" s="1"/>
  <c r="AI47" i="1" s="1"/>
  <c r="AJ47" i="1" s="1"/>
  <c r="J24" i="2"/>
  <c r="O24" i="2" s="1"/>
  <c r="AI26" i="1" s="1"/>
  <c r="AJ26" i="1" s="1"/>
  <c r="J66" i="2"/>
  <c r="O66" i="2" s="1"/>
  <c r="J25" i="2"/>
  <c r="O25" i="2" s="1"/>
  <c r="AI27" i="1" s="1"/>
  <c r="AJ27" i="1" s="1"/>
  <c r="J20" i="2"/>
  <c r="O20" i="2" s="1"/>
  <c r="R20" i="2" s="1"/>
  <c r="AM22" i="1" s="1"/>
  <c r="AN22" i="1" s="1"/>
  <c r="J41" i="2"/>
  <c r="O41" i="2" s="1"/>
  <c r="AI43" i="1" s="1"/>
  <c r="AJ43" i="1" s="1"/>
  <c r="J19" i="2"/>
  <c r="O19" i="2" s="1"/>
  <c r="AI21" i="1" s="1"/>
  <c r="AJ21" i="1" s="1"/>
  <c r="J44" i="2"/>
  <c r="O44" i="2" s="1"/>
  <c r="R44" i="2" s="1"/>
  <c r="AM46" i="1" s="1"/>
  <c r="AN46" i="1" s="1"/>
  <c r="J14" i="2"/>
  <c r="O14" i="2" s="1"/>
  <c r="R14" i="2" s="1"/>
  <c r="AM16" i="1" s="1"/>
  <c r="AN16" i="1" s="1"/>
  <c r="J21" i="2"/>
  <c r="O21" i="2" s="1"/>
  <c r="AI23" i="1" s="1"/>
  <c r="AJ23" i="1" s="1"/>
  <c r="J67" i="2"/>
  <c r="O67" i="2" s="1"/>
  <c r="R67" i="2" s="1"/>
  <c r="AM69" i="1" s="1"/>
  <c r="AN69" i="1" s="1"/>
  <c r="J63" i="2"/>
  <c r="O63" i="2" s="1"/>
  <c r="R63" i="2" s="1"/>
  <c r="AM65" i="1" s="1"/>
  <c r="AN65" i="1" s="1"/>
  <c r="J33" i="2"/>
  <c r="O33" i="2" s="1"/>
  <c r="AI35" i="1" s="1"/>
  <c r="AJ35" i="1" s="1"/>
  <c r="X60" i="1"/>
  <c r="R19" i="2"/>
  <c r="AM21" i="1" s="1"/>
  <c r="AN21" i="1" s="1"/>
  <c r="T53" i="1"/>
  <c r="AB53" i="1"/>
  <c r="AB31" i="1"/>
  <c r="T31" i="1"/>
  <c r="T52" i="1"/>
  <c r="U52" i="1" s="1"/>
  <c r="AB52" i="1"/>
  <c r="T21" i="1"/>
  <c r="AB21" i="1"/>
  <c r="AB11" i="1"/>
  <c r="T11" i="1"/>
  <c r="T8" i="1"/>
  <c r="U8" i="1" s="1"/>
  <c r="V8" i="1" s="1"/>
  <c r="AA75" i="1"/>
  <c r="J40" i="2"/>
  <c r="O40" i="2" s="1"/>
  <c r="R40" i="2" s="1"/>
  <c r="AM42" i="1" s="1"/>
  <c r="AN42" i="1" s="1"/>
  <c r="J57" i="2"/>
  <c r="O57" i="2" s="1"/>
  <c r="J8" i="2"/>
  <c r="O8" i="2" s="1"/>
  <c r="AI10" i="1" s="1"/>
  <c r="AJ10" i="1" s="1"/>
  <c r="J29" i="2"/>
  <c r="O29" i="2" s="1"/>
  <c r="J73" i="2"/>
  <c r="O73" i="2" s="1"/>
  <c r="AI75" i="1" s="1"/>
  <c r="AJ75" i="1" s="1"/>
  <c r="J6" i="2"/>
  <c r="O6" i="2" s="1"/>
  <c r="J16" i="2"/>
  <c r="O16" i="2" s="1"/>
  <c r="R16" i="2" s="1"/>
  <c r="AM18" i="1" s="1"/>
  <c r="AN18" i="1" s="1"/>
  <c r="J7" i="2"/>
  <c r="O7" i="2" s="1"/>
  <c r="J43" i="2"/>
  <c r="O43" i="2" s="1"/>
  <c r="R43" i="2" s="1"/>
  <c r="AM45" i="1" s="1"/>
  <c r="AN45" i="1" s="1"/>
  <c r="J55" i="2"/>
  <c r="O55" i="2" s="1"/>
  <c r="AI57" i="1" s="1"/>
  <c r="J49" i="2"/>
  <c r="O49" i="2" s="1"/>
  <c r="R49" i="2" s="1"/>
  <c r="AM51" i="1" s="1"/>
  <c r="AN51" i="1" s="1"/>
  <c r="J47" i="2"/>
  <c r="O47" i="2" s="1"/>
  <c r="J59" i="2"/>
  <c r="O59" i="2" s="1"/>
  <c r="J71" i="2"/>
  <c r="O71" i="2" s="1"/>
  <c r="AI73" i="1" s="1"/>
  <c r="AJ73" i="1" s="1"/>
  <c r="J56" i="2"/>
  <c r="O56" i="2" s="1"/>
  <c r="R56" i="2" s="1"/>
  <c r="AM58" i="1" s="1"/>
  <c r="AN58" i="1" s="1"/>
  <c r="J12" i="2"/>
  <c r="O12" i="2" s="1"/>
  <c r="R12" i="2" s="1"/>
  <c r="AM14" i="1" s="1"/>
  <c r="AN14" i="1" s="1"/>
  <c r="AB45" i="1"/>
  <c r="T45" i="1"/>
  <c r="AB56" i="1"/>
  <c r="T56" i="1"/>
  <c r="AB9" i="1"/>
  <c r="T9" i="1"/>
  <c r="U9" i="1" s="1"/>
  <c r="U65" i="1"/>
  <c r="AA65" i="1"/>
  <c r="X65" i="1"/>
  <c r="Z65" i="1"/>
  <c r="AC65" i="1" s="1"/>
  <c r="W65" i="1"/>
  <c r="T20" i="1"/>
  <c r="AB20" i="1"/>
  <c r="T14" i="1"/>
  <c r="AB14" i="1"/>
  <c r="AI53" i="1"/>
  <c r="AJ53" i="1" s="1"/>
  <c r="AB19" i="1"/>
  <c r="T19" i="1"/>
  <c r="T40" i="1"/>
  <c r="AB40" i="1"/>
  <c r="T70" i="1"/>
  <c r="AB70" i="1"/>
  <c r="AB27" i="1"/>
  <c r="T27" i="1"/>
  <c r="U27" i="1" s="1"/>
  <c r="T55" i="1"/>
  <c r="AB55" i="1"/>
  <c r="AB44" i="1"/>
  <c r="T44" i="1"/>
  <c r="AB49" i="1"/>
  <c r="T49" i="1"/>
  <c r="AB36" i="1"/>
  <c r="T36" i="1"/>
  <c r="T25" i="1"/>
  <c r="AB25" i="1"/>
  <c r="AB33" i="1"/>
  <c r="T33" i="1"/>
  <c r="AB34" i="1"/>
  <c r="T34" i="1"/>
  <c r="AB32" i="1"/>
  <c r="T32" i="1"/>
  <c r="R64" i="2"/>
  <c r="AM66" i="1" s="1"/>
  <c r="AN66" i="1" s="1"/>
  <c r="AI66" i="1"/>
  <c r="AJ66" i="1" s="1"/>
  <c r="T69" i="1"/>
  <c r="AB69" i="1"/>
  <c r="T61" i="1"/>
  <c r="U61" i="1" s="1"/>
  <c r="AB61" i="1"/>
  <c r="AB30" i="1"/>
  <c r="T30" i="1"/>
  <c r="AI12" i="1"/>
  <c r="AJ12" i="1" s="1"/>
  <c r="R10" i="2"/>
  <c r="AM12" i="1" s="1"/>
  <c r="AN12" i="1" s="1"/>
  <c r="T22" i="1"/>
  <c r="AB22" i="1"/>
  <c r="AB50" i="1"/>
  <c r="T50" i="1"/>
  <c r="T18" i="1"/>
  <c r="AB18" i="1"/>
  <c r="T51" i="1"/>
  <c r="AB51" i="1"/>
  <c r="T68" i="1"/>
  <c r="AB68" i="1"/>
  <c r="T66" i="1"/>
  <c r="U66" i="1" s="1"/>
  <c r="AB66" i="1"/>
  <c r="T74" i="1"/>
  <c r="AB74" i="1"/>
  <c r="T71" i="1"/>
  <c r="AB71" i="1"/>
  <c r="T12" i="1"/>
  <c r="U12" i="1" s="1"/>
  <c r="AB12" i="1"/>
  <c r="AB28" i="1"/>
  <c r="T28" i="1"/>
  <c r="T17" i="1"/>
  <c r="AB17" i="1"/>
  <c r="AB76" i="1"/>
  <c r="T76" i="1"/>
  <c r="AB54" i="1"/>
  <c r="T54" i="1"/>
  <c r="AB67" i="1"/>
  <c r="T67" i="1"/>
  <c r="U67" i="1" s="1"/>
  <c r="AB42" i="1"/>
  <c r="T42" i="1"/>
  <c r="T43" i="1"/>
  <c r="AB43" i="1"/>
  <c r="AB41" i="1"/>
  <c r="T41" i="1"/>
  <c r="T10" i="1"/>
  <c r="AB10" i="1"/>
  <c r="T15" i="1"/>
  <c r="AB15" i="1"/>
  <c r="T58" i="1"/>
  <c r="U58" i="1" s="1"/>
  <c r="AB58" i="1"/>
  <c r="AB48" i="1"/>
  <c r="T48" i="1"/>
  <c r="AB39" i="1"/>
  <c r="T39" i="1"/>
  <c r="T38" i="1"/>
  <c r="AB38" i="1"/>
  <c r="U24" i="1"/>
  <c r="W24" i="1"/>
  <c r="Z24" i="1"/>
  <c r="AA24" i="1"/>
  <c r="X24" i="1"/>
  <c r="G24" i="81"/>
  <c r="H24" i="81"/>
  <c r="P16" i="1"/>
  <c r="O77" i="1"/>
  <c r="H10" i="81"/>
  <c r="G10" i="81"/>
  <c r="G19" i="81"/>
  <c r="H19" i="81"/>
  <c r="H40" i="81"/>
  <c r="P75" i="2"/>
  <c r="E19" i="5" s="1"/>
  <c r="F19" i="5" s="1"/>
  <c r="T76" i="129"/>
  <c r="S6" i="72"/>
  <c r="S75" i="72" s="1"/>
  <c r="D22" i="72"/>
  <c r="K9" i="72"/>
  <c r="V76" i="117"/>
  <c r="T76" i="127"/>
  <c r="Q6" i="72"/>
  <c r="Q75" i="72" s="1"/>
  <c r="T77" i="76"/>
  <c r="S13" i="31"/>
  <c r="S69" i="31" s="1"/>
  <c r="S70" i="31" s="1"/>
  <c r="E41" i="72" s="1"/>
  <c r="E75" i="72" s="1"/>
  <c r="R69" i="31"/>
  <c r="R70" i="31" s="1"/>
  <c r="W30" i="46"/>
  <c r="W38" i="46" s="1"/>
  <c r="X29" i="46"/>
  <c r="X30" i="46" s="1"/>
  <c r="D14" i="72" s="1"/>
  <c r="P6" i="72"/>
  <c r="P75" i="72" s="1"/>
  <c r="T76" i="126"/>
  <c r="U9" i="72"/>
  <c r="U75" i="72" s="1"/>
  <c r="U73" i="76"/>
  <c r="AT47" i="1"/>
  <c r="V47" i="1"/>
  <c r="AS23" i="1"/>
  <c r="AD23" i="1"/>
  <c r="AE23" i="1" s="1"/>
  <c r="V23" i="1"/>
  <c r="AS64" i="1"/>
  <c r="AD64" i="1"/>
  <c r="AE64" i="1" s="1"/>
  <c r="AG64" i="1" s="1"/>
  <c r="V64" i="1"/>
  <c r="AD62" i="1"/>
  <c r="AE62" i="1" s="1"/>
  <c r="AS62" i="1"/>
  <c r="V46" i="1"/>
  <c r="AD13" i="1"/>
  <c r="AE13" i="1" s="1"/>
  <c r="AF13" i="1" s="1"/>
  <c r="AS13" i="1"/>
  <c r="AG72" i="1"/>
  <c r="AF72" i="1"/>
  <c r="V45" i="100"/>
  <c r="R46" i="67"/>
  <c r="S46" i="67" s="1"/>
  <c r="W45" i="72" s="1"/>
  <c r="K75" i="72" l="1"/>
  <c r="X9" i="72"/>
  <c r="X6" i="72"/>
  <c r="AT72" i="1"/>
  <c r="AS46" i="1"/>
  <c r="U26" i="1"/>
  <c r="V26" i="1" s="1"/>
  <c r="AI63" i="1"/>
  <c r="AJ63" i="1" s="1"/>
  <c r="AC24" i="1"/>
  <c r="AS24" i="1" s="1"/>
  <c r="W26" i="1"/>
  <c r="R70" i="2"/>
  <c r="AM72" i="1" s="1"/>
  <c r="AN72" i="1" s="1"/>
  <c r="AI67" i="1"/>
  <c r="AJ67" i="1" s="1"/>
  <c r="AI52" i="1"/>
  <c r="AJ52" i="1" s="1"/>
  <c r="R15" i="2"/>
  <c r="AM17" i="1" s="1"/>
  <c r="AN17" i="1" s="1"/>
  <c r="X8" i="1"/>
  <c r="L34" i="67"/>
  <c r="O34" i="67" s="1"/>
  <c r="P34" i="67" s="1"/>
  <c r="V33" i="100" s="1"/>
  <c r="W8" i="1"/>
  <c r="AD35" i="1"/>
  <c r="AE35" i="1" s="1"/>
  <c r="AG47" i="1"/>
  <c r="AK47" i="1" s="1"/>
  <c r="AL47" i="1" s="1"/>
  <c r="AI14" i="1"/>
  <c r="AJ14" i="1" s="1"/>
  <c r="R69" i="2"/>
  <c r="AM71" i="1" s="1"/>
  <c r="AN71" i="1" s="1"/>
  <c r="AA26" i="1"/>
  <c r="Z26" i="1"/>
  <c r="AC26" i="1" s="1"/>
  <c r="R60" i="2"/>
  <c r="AM62" i="1" s="1"/>
  <c r="AN62" i="1" s="1"/>
  <c r="AI60" i="1"/>
  <c r="AJ60" i="1" s="1"/>
  <c r="R17" i="2"/>
  <c r="AM19" i="1" s="1"/>
  <c r="AN19" i="1" s="1"/>
  <c r="V75" i="1"/>
  <c r="R23" i="2"/>
  <c r="AM25" i="1" s="1"/>
  <c r="AN25" i="1" s="1"/>
  <c r="AI45" i="1"/>
  <c r="AJ45" i="1" s="1"/>
  <c r="R72" i="2"/>
  <c r="AM74" i="1" s="1"/>
  <c r="AN74" i="1" s="1"/>
  <c r="R74" i="2"/>
  <c r="AM76" i="1" s="1"/>
  <c r="AN76" i="1" s="1"/>
  <c r="AI44" i="1"/>
  <c r="AJ44" i="1" s="1"/>
  <c r="AI33" i="1"/>
  <c r="AJ33" i="1" s="1"/>
  <c r="AD63" i="1"/>
  <c r="AE63" i="1" s="1"/>
  <c r="AF63" i="1" s="1"/>
  <c r="L62" i="67"/>
  <c r="O62" i="67" s="1"/>
  <c r="P62" i="67" s="1"/>
  <c r="R62" i="67" s="1"/>
  <c r="S62" i="67" s="1"/>
  <c r="W61" i="72" s="1"/>
  <c r="AI39" i="1"/>
  <c r="AJ39" i="1" s="1"/>
  <c r="AI55" i="1"/>
  <c r="AJ55" i="1" s="1"/>
  <c r="X37" i="1"/>
  <c r="W37" i="1"/>
  <c r="U37" i="1"/>
  <c r="Z37" i="1"/>
  <c r="AC37" i="1" s="1"/>
  <c r="AA37" i="1"/>
  <c r="AI70" i="1"/>
  <c r="AJ70" i="1" s="1"/>
  <c r="R24" i="2"/>
  <c r="AM26" i="1" s="1"/>
  <c r="AN26" i="1" s="1"/>
  <c r="R48" i="2"/>
  <c r="AM50" i="1" s="1"/>
  <c r="AN50" i="1" s="1"/>
  <c r="AI30" i="1"/>
  <c r="AJ30" i="1" s="1"/>
  <c r="R21" i="2"/>
  <c r="AM23" i="1" s="1"/>
  <c r="AN23" i="1" s="1"/>
  <c r="R41" i="2"/>
  <c r="AM43" i="1" s="1"/>
  <c r="AN43" i="1" s="1"/>
  <c r="AI48" i="1"/>
  <c r="AJ48" i="1" s="1"/>
  <c r="AI65" i="1"/>
  <c r="AJ65" i="1" s="1"/>
  <c r="AI32" i="1"/>
  <c r="AJ32" i="1" s="1"/>
  <c r="R11" i="2"/>
  <c r="AM13" i="1" s="1"/>
  <c r="AN13" i="1" s="1"/>
  <c r="AI37" i="1"/>
  <c r="AJ37" i="1" s="1"/>
  <c r="AI41" i="1"/>
  <c r="AJ41" i="1" s="1"/>
  <c r="AI29" i="1"/>
  <c r="AJ29" i="1" s="1"/>
  <c r="AA8" i="1"/>
  <c r="Z8" i="1"/>
  <c r="AC8" i="1" s="1"/>
  <c r="AI22" i="1"/>
  <c r="AJ22" i="1" s="1"/>
  <c r="R34" i="2"/>
  <c r="AM36" i="1" s="1"/>
  <c r="AN36" i="1" s="1"/>
  <c r="V57" i="1"/>
  <c r="R18" i="2"/>
  <c r="AM20" i="1" s="1"/>
  <c r="AN20" i="1" s="1"/>
  <c r="O75" i="2"/>
  <c r="AI87" i="1" s="1"/>
  <c r="AI15" i="1"/>
  <c r="AJ15" i="1" s="1"/>
  <c r="R13" i="2"/>
  <c r="AM15" i="1" s="1"/>
  <c r="AN15" i="1" s="1"/>
  <c r="AI69" i="1"/>
  <c r="AJ69" i="1" s="1"/>
  <c r="R9" i="2"/>
  <c r="AM11" i="1" s="1"/>
  <c r="AN11" i="1" s="1"/>
  <c r="R38" i="2"/>
  <c r="AM40" i="1" s="1"/>
  <c r="AN40" i="1" s="1"/>
  <c r="AS59" i="1"/>
  <c r="AI28" i="1"/>
  <c r="AJ28" i="1" s="1"/>
  <c r="AF59" i="1"/>
  <c r="R25" i="2"/>
  <c r="AM27" i="1" s="1"/>
  <c r="AN27" i="1" s="1"/>
  <c r="R55" i="2"/>
  <c r="AM57" i="1" s="1"/>
  <c r="AN57" i="1" s="1"/>
  <c r="R32" i="2"/>
  <c r="AM34" i="1" s="1"/>
  <c r="AN34" i="1" s="1"/>
  <c r="AI54" i="1"/>
  <c r="AJ54" i="1" s="1"/>
  <c r="Z57" i="1"/>
  <c r="AC57" i="1" s="1"/>
  <c r="W57" i="1"/>
  <c r="X57" i="1"/>
  <c r="AA57" i="1"/>
  <c r="R22" i="2"/>
  <c r="AM24" i="1" s="1"/>
  <c r="AN24" i="1" s="1"/>
  <c r="AI24" i="1"/>
  <c r="AJ24" i="1" s="1"/>
  <c r="AD75" i="1"/>
  <c r="AE75" i="1" s="1"/>
  <c r="AI58" i="1"/>
  <c r="AJ58" i="1" s="1"/>
  <c r="O79" i="2"/>
  <c r="AI16" i="1"/>
  <c r="AJ16" i="1" s="1"/>
  <c r="R6" i="2"/>
  <c r="AM8" i="1" s="1"/>
  <c r="AN8" i="1" s="1"/>
  <c r="AI46" i="1"/>
  <c r="AJ46" i="1" s="1"/>
  <c r="AI68" i="1"/>
  <c r="AJ68" i="1" s="1"/>
  <c r="R66" i="2"/>
  <c r="AM68" i="1" s="1"/>
  <c r="AN68" i="1" s="1"/>
  <c r="AS60" i="1"/>
  <c r="AD60" i="1"/>
  <c r="AE60" i="1" s="1"/>
  <c r="W73" i="1"/>
  <c r="AA73" i="1"/>
  <c r="Z73" i="1"/>
  <c r="AC73" i="1" s="1"/>
  <c r="X73" i="1"/>
  <c r="U73" i="1"/>
  <c r="AI64" i="1"/>
  <c r="AJ64" i="1" s="1"/>
  <c r="R62" i="2"/>
  <c r="AM64" i="1" s="1"/>
  <c r="AN64" i="1" s="1"/>
  <c r="R36" i="2"/>
  <c r="AM38" i="1" s="1"/>
  <c r="AN38" i="1" s="1"/>
  <c r="AI38" i="1"/>
  <c r="AJ38" i="1" s="1"/>
  <c r="V60" i="1"/>
  <c r="AG60" i="1"/>
  <c r="R33" i="2"/>
  <c r="AM35" i="1" s="1"/>
  <c r="AN35" i="1" s="1"/>
  <c r="AI18" i="1"/>
  <c r="AJ18" i="1" s="1"/>
  <c r="R8" i="2"/>
  <c r="AM10" i="1" s="1"/>
  <c r="AN10" i="1" s="1"/>
  <c r="F77" i="114"/>
  <c r="R73" i="2"/>
  <c r="AM75" i="1" s="1"/>
  <c r="AN75" i="1" s="1"/>
  <c r="R45" i="2"/>
  <c r="AM47" i="1" s="1"/>
  <c r="AN47" i="1" s="1"/>
  <c r="AI51" i="1"/>
  <c r="AJ51" i="1" s="1"/>
  <c r="R54" i="2"/>
  <c r="AM56" i="1" s="1"/>
  <c r="AN56" i="1" s="1"/>
  <c r="AI56" i="1"/>
  <c r="AJ56" i="1" s="1"/>
  <c r="U29" i="1"/>
  <c r="Z29" i="1"/>
  <c r="AC29" i="1" s="1"/>
  <c r="AA29" i="1"/>
  <c r="X29" i="1"/>
  <c r="W29" i="1"/>
  <c r="W11" i="1"/>
  <c r="Z11" i="1"/>
  <c r="AC11" i="1" s="1"/>
  <c r="X11" i="1"/>
  <c r="AA11" i="1"/>
  <c r="V52" i="1"/>
  <c r="J75" i="2"/>
  <c r="E47" i="81" s="1"/>
  <c r="AI8" i="1"/>
  <c r="AJ8" i="1" s="1"/>
  <c r="R59" i="2"/>
  <c r="AM61" i="1" s="1"/>
  <c r="AN61" i="1" s="1"/>
  <c r="AI61" i="1"/>
  <c r="AJ61" i="1" s="1"/>
  <c r="U11" i="1"/>
  <c r="R71" i="2"/>
  <c r="AM73" i="1" s="1"/>
  <c r="AN73" i="1" s="1"/>
  <c r="AI42" i="1"/>
  <c r="AJ42" i="1" s="1"/>
  <c r="R47" i="2"/>
  <c r="AM49" i="1" s="1"/>
  <c r="AN49" i="1" s="1"/>
  <c r="AI49" i="1"/>
  <c r="AJ49" i="1" s="1"/>
  <c r="R7" i="2"/>
  <c r="AM9" i="1" s="1"/>
  <c r="AN9" i="1" s="1"/>
  <c r="AI9" i="1"/>
  <c r="AJ9" i="1" s="1"/>
  <c r="AI31" i="1"/>
  <c r="AJ31" i="1" s="1"/>
  <c r="R29" i="2"/>
  <c r="AM31" i="1" s="1"/>
  <c r="AN31" i="1" s="1"/>
  <c r="AA52" i="1"/>
  <c r="W52" i="1"/>
  <c r="X52" i="1"/>
  <c r="Z52" i="1"/>
  <c r="AC52" i="1" s="1"/>
  <c r="U45" i="1"/>
  <c r="AA45" i="1"/>
  <c r="X45" i="1"/>
  <c r="W45" i="1"/>
  <c r="Z45" i="1"/>
  <c r="AC45" i="1" s="1"/>
  <c r="AI59" i="1"/>
  <c r="AJ59" i="1" s="1"/>
  <c r="R57" i="2"/>
  <c r="AM59" i="1" s="1"/>
  <c r="AN59" i="1" s="1"/>
  <c r="X31" i="1"/>
  <c r="Z31" i="1"/>
  <c r="AC31" i="1" s="1"/>
  <c r="AA31" i="1"/>
  <c r="W31" i="1"/>
  <c r="U21" i="1"/>
  <c r="W21" i="1"/>
  <c r="Z21" i="1"/>
  <c r="AC21" i="1" s="1"/>
  <c r="X21" i="1"/>
  <c r="AA21" i="1"/>
  <c r="U31" i="1"/>
  <c r="U53" i="1"/>
  <c r="W53" i="1"/>
  <c r="X53" i="1"/>
  <c r="AA53" i="1"/>
  <c r="Z53" i="1"/>
  <c r="AC53" i="1" s="1"/>
  <c r="V61" i="1"/>
  <c r="AA42" i="1"/>
  <c r="X42" i="1"/>
  <c r="U42" i="1"/>
  <c r="W42" i="1"/>
  <c r="Z42" i="1"/>
  <c r="AC42" i="1" s="1"/>
  <c r="V12" i="1"/>
  <c r="U30" i="1"/>
  <c r="X30" i="1"/>
  <c r="Z30" i="1"/>
  <c r="AC30" i="1" s="1"/>
  <c r="AA30" i="1"/>
  <c r="W30" i="1"/>
  <c r="U14" i="1"/>
  <c r="Z14" i="1"/>
  <c r="AC14" i="1" s="1"/>
  <c r="AA14" i="1"/>
  <c r="W14" i="1"/>
  <c r="X14" i="1"/>
  <c r="V9" i="1"/>
  <c r="U39" i="1"/>
  <c r="AA39" i="1"/>
  <c r="Z39" i="1"/>
  <c r="AC39" i="1" s="1"/>
  <c r="X39" i="1"/>
  <c r="W39" i="1"/>
  <c r="U15" i="1"/>
  <c r="W15" i="1"/>
  <c r="Z15" i="1"/>
  <c r="AC15" i="1" s="1"/>
  <c r="AA15" i="1"/>
  <c r="X15" i="1"/>
  <c r="U54" i="1"/>
  <c r="Z54" i="1"/>
  <c r="AC54" i="1" s="1"/>
  <c r="W54" i="1"/>
  <c r="X54" i="1"/>
  <c r="AA54" i="1"/>
  <c r="U18" i="1"/>
  <c r="X18" i="1"/>
  <c r="Z18" i="1"/>
  <c r="AC18" i="1" s="1"/>
  <c r="AA18" i="1"/>
  <c r="W18" i="1"/>
  <c r="AA55" i="1"/>
  <c r="Z55" i="1"/>
  <c r="AC55" i="1" s="1"/>
  <c r="W55" i="1"/>
  <c r="X55" i="1"/>
  <c r="W9" i="1"/>
  <c r="X9" i="1"/>
  <c r="Z9" i="1"/>
  <c r="AC9" i="1" s="1"/>
  <c r="AA9" i="1"/>
  <c r="V67" i="1"/>
  <c r="U28" i="1"/>
  <c r="X28" i="1"/>
  <c r="Z28" i="1"/>
  <c r="AC28" i="1" s="1"/>
  <c r="AA28" i="1"/>
  <c r="W28" i="1"/>
  <c r="X12" i="1"/>
  <c r="AA12" i="1"/>
  <c r="W12" i="1"/>
  <c r="Z12" i="1"/>
  <c r="AC12" i="1" s="1"/>
  <c r="AA66" i="1"/>
  <c r="X66" i="1"/>
  <c r="W66" i="1"/>
  <c r="Z66" i="1"/>
  <c r="AC66" i="1" s="1"/>
  <c r="U50" i="1"/>
  <c r="AA50" i="1"/>
  <c r="X50" i="1"/>
  <c r="Z50" i="1"/>
  <c r="AC50" i="1" s="1"/>
  <c r="W50" i="1"/>
  <c r="AA69" i="1"/>
  <c r="X69" i="1"/>
  <c r="W69" i="1"/>
  <c r="Z69" i="1"/>
  <c r="AC69" i="1" s="1"/>
  <c r="AJ57" i="1"/>
  <c r="U25" i="1"/>
  <c r="X25" i="1"/>
  <c r="Z25" i="1"/>
  <c r="AC25" i="1" s="1"/>
  <c r="AA25" i="1"/>
  <c r="W25" i="1"/>
  <c r="V27" i="1"/>
  <c r="U70" i="1"/>
  <c r="W70" i="1"/>
  <c r="X70" i="1"/>
  <c r="AA70" i="1"/>
  <c r="Z70" i="1"/>
  <c r="AC70" i="1" s="1"/>
  <c r="U19" i="1"/>
  <c r="Z19" i="1"/>
  <c r="AC19" i="1" s="1"/>
  <c r="W19" i="1"/>
  <c r="X19" i="1"/>
  <c r="AA19" i="1"/>
  <c r="U20" i="1"/>
  <c r="W20" i="1"/>
  <c r="AA20" i="1"/>
  <c r="Z20" i="1"/>
  <c r="AC20" i="1" s="1"/>
  <c r="X20" i="1"/>
  <c r="X38" i="1"/>
  <c r="W38" i="1"/>
  <c r="AA38" i="1"/>
  <c r="Z38" i="1"/>
  <c r="AC38" i="1" s="1"/>
  <c r="U41" i="1"/>
  <c r="Z41" i="1"/>
  <c r="AC41" i="1" s="1"/>
  <c r="X41" i="1"/>
  <c r="W41" i="1"/>
  <c r="AA41" i="1"/>
  <c r="V66" i="1"/>
  <c r="W61" i="1"/>
  <c r="X61" i="1"/>
  <c r="AA61" i="1"/>
  <c r="Z61" i="1"/>
  <c r="AC61" i="1" s="1"/>
  <c r="AS65" i="1"/>
  <c r="AD65" i="1"/>
  <c r="AE65" i="1" s="1"/>
  <c r="V58" i="1"/>
  <c r="U17" i="1"/>
  <c r="Z17" i="1"/>
  <c r="AC17" i="1" s="1"/>
  <c r="AA17" i="1"/>
  <c r="W17" i="1"/>
  <c r="X17" i="1"/>
  <c r="W71" i="1"/>
  <c r="AA71" i="1"/>
  <c r="Z71" i="1"/>
  <c r="AC71" i="1" s="1"/>
  <c r="X71" i="1"/>
  <c r="W68" i="1"/>
  <c r="X68" i="1"/>
  <c r="Z68" i="1"/>
  <c r="AC68" i="1" s="1"/>
  <c r="AA68" i="1"/>
  <c r="U22" i="1"/>
  <c r="X22" i="1"/>
  <c r="AA22" i="1"/>
  <c r="W22" i="1"/>
  <c r="Z22" i="1"/>
  <c r="AC22" i="1" s="1"/>
  <c r="X34" i="1"/>
  <c r="U34" i="1"/>
  <c r="Z34" i="1"/>
  <c r="AC34" i="1" s="1"/>
  <c r="AA34" i="1"/>
  <c r="W34" i="1"/>
  <c r="U49" i="1"/>
  <c r="W49" i="1"/>
  <c r="X49" i="1"/>
  <c r="Z49" i="1"/>
  <c r="AC49" i="1" s="1"/>
  <c r="AA49" i="1"/>
  <c r="X40" i="1"/>
  <c r="W40" i="1"/>
  <c r="Z40" i="1"/>
  <c r="AC40" i="1" s="1"/>
  <c r="AA40" i="1"/>
  <c r="U38" i="1"/>
  <c r="U48" i="1"/>
  <c r="X48" i="1"/>
  <c r="W48" i="1"/>
  <c r="AA48" i="1"/>
  <c r="Z48" i="1"/>
  <c r="AC48" i="1" s="1"/>
  <c r="X58" i="1"/>
  <c r="AA58" i="1"/>
  <c r="Z58" i="1"/>
  <c r="AC58" i="1" s="1"/>
  <c r="W58" i="1"/>
  <c r="U10" i="1"/>
  <c r="W10" i="1"/>
  <c r="Z10" i="1"/>
  <c r="AC10" i="1" s="1"/>
  <c r="X10" i="1"/>
  <c r="AA10" i="1"/>
  <c r="U43" i="1"/>
  <c r="X43" i="1"/>
  <c r="Z43" i="1"/>
  <c r="AC43" i="1" s="1"/>
  <c r="W43" i="1"/>
  <c r="AA43" i="1"/>
  <c r="Z67" i="1"/>
  <c r="AC67" i="1" s="1"/>
  <c r="AA67" i="1"/>
  <c r="X67" i="1"/>
  <c r="W67" i="1"/>
  <c r="AA76" i="1"/>
  <c r="X76" i="1"/>
  <c r="W76" i="1"/>
  <c r="U76" i="1"/>
  <c r="Z76" i="1"/>
  <c r="AC76" i="1" s="1"/>
  <c r="U71" i="1"/>
  <c r="Z74" i="1"/>
  <c r="AC74" i="1" s="1"/>
  <c r="X74" i="1"/>
  <c r="AA74" i="1"/>
  <c r="W74" i="1"/>
  <c r="U74" i="1"/>
  <c r="U68" i="1"/>
  <c r="U51" i="1"/>
  <c r="X51" i="1"/>
  <c r="W51" i="1"/>
  <c r="Z51" i="1"/>
  <c r="AC51" i="1" s="1"/>
  <c r="AA51" i="1"/>
  <c r="U32" i="1"/>
  <c r="AA32" i="1"/>
  <c r="X32" i="1"/>
  <c r="W32" i="1"/>
  <c r="Z32" i="1"/>
  <c r="AC32" i="1" s="1"/>
  <c r="U33" i="1"/>
  <c r="W33" i="1"/>
  <c r="X33" i="1"/>
  <c r="Z33" i="1"/>
  <c r="AC33" i="1" s="1"/>
  <c r="AA33" i="1"/>
  <c r="U36" i="1"/>
  <c r="X36" i="1"/>
  <c r="AA36" i="1"/>
  <c r="W36" i="1"/>
  <c r="Z36" i="1"/>
  <c r="AC36" i="1" s="1"/>
  <c r="U44" i="1"/>
  <c r="W44" i="1"/>
  <c r="Z44" i="1"/>
  <c r="AC44" i="1" s="1"/>
  <c r="AA44" i="1"/>
  <c r="X44" i="1"/>
  <c r="U55" i="1"/>
  <c r="X27" i="1"/>
  <c r="W27" i="1"/>
  <c r="AA27" i="1"/>
  <c r="Z27" i="1"/>
  <c r="AC27" i="1" s="1"/>
  <c r="U40" i="1"/>
  <c r="V65" i="1"/>
  <c r="U56" i="1"/>
  <c r="W56" i="1"/>
  <c r="X56" i="1"/>
  <c r="AA56" i="1"/>
  <c r="Z56" i="1"/>
  <c r="AC56" i="1" s="1"/>
  <c r="U69" i="1"/>
  <c r="F76" i="119"/>
  <c r="E20" i="5"/>
  <c r="F20" i="5" s="1"/>
  <c r="F21" i="5" s="1"/>
  <c r="V24" i="1"/>
  <c r="D75" i="72"/>
  <c r="F76" i="113"/>
  <c r="F76" i="117"/>
  <c r="F76" i="118"/>
  <c r="F76" i="120"/>
  <c r="R16" i="1"/>
  <c r="P77" i="1"/>
  <c r="F76" i="116"/>
  <c r="F76" i="115"/>
  <c r="X38" i="46"/>
  <c r="AH59" i="1"/>
  <c r="AF23" i="1"/>
  <c r="AG23" i="1"/>
  <c r="L22" i="67"/>
  <c r="O22" i="67" s="1"/>
  <c r="P22" i="67" s="1"/>
  <c r="AT23" i="1"/>
  <c r="AG62" i="1"/>
  <c r="AF62" i="1"/>
  <c r="L12" i="67"/>
  <c r="O12" i="67" s="1"/>
  <c r="P12" i="67" s="1"/>
  <c r="AT13" i="1"/>
  <c r="AG13" i="1"/>
  <c r="AH64" i="1"/>
  <c r="AF64" i="1"/>
  <c r="L45" i="67"/>
  <c r="O45" i="67" s="1"/>
  <c r="P45" i="67" s="1"/>
  <c r="AT46" i="1"/>
  <c r="AT64" i="1"/>
  <c r="L63" i="67"/>
  <c r="O63" i="67" s="1"/>
  <c r="P63" i="67" s="1"/>
  <c r="AG46" i="1"/>
  <c r="AF46" i="1"/>
  <c r="L74" i="67"/>
  <c r="O74" i="67" s="1"/>
  <c r="P74" i="67" s="1"/>
  <c r="AT75" i="1"/>
  <c r="AT62" i="1"/>
  <c r="L61" i="67"/>
  <c r="O61" i="67" s="1"/>
  <c r="P61" i="67" s="1"/>
  <c r="R71" i="67"/>
  <c r="S71" i="67" s="1"/>
  <c r="W70" i="72" s="1"/>
  <c r="V70" i="100"/>
  <c r="AH72" i="1"/>
  <c r="AK72" i="1"/>
  <c r="AL72" i="1" s="1"/>
  <c r="E10" i="137" s="1"/>
  <c r="X75" i="72" l="1"/>
  <c r="AO72" i="1"/>
  <c r="V61" i="100"/>
  <c r="AD24" i="1"/>
  <c r="AE24" i="1" s="1"/>
  <c r="AF24" i="1" s="1"/>
  <c r="AK60" i="1"/>
  <c r="AL60" i="1" s="1"/>
  <c r="D59" i="118" s="1"/>
  <c r="E59" i="118" s="1"/>
  <c r="H59" i="118" s="1"/>
  <c r="R34" i="67"/>
  <c r="S34" i="67" s="1"/>
  <c r="W33" i="72" s="1"/>
  <c r="AH47" i="1"/>
  <c r="AG35" i="1"/>
  <c r="AK35" i="1" s="1"/>
  <c r="AL35" i="1" s="1"/>
  <c r="D34" i="131" s="1"/>
  <c r="E34" i="131" s="1"/>
  <c r="H34" i="131" s="1"/>
  <c r="D46" i="131"/>
  <c r="E46" i="131" s="1"/>
  <c r="H46" i="131" s="1"/>
  <c r="I46" i="131" s="1"/>
  <c r="J46" i="131" s="1"/>
  <c r="L46" i="131" s="1"/>
  <c r="D46" i="129"/>
  <c r="E46" i="129" s="1"/>
  <c r="H46" i="129" s="1"/>
  <c r="I46" i="129" s="1"/>
  <c r="J46" i="129" s="1"/>
  <c r="L46" i="129" s="1"/>
  <c r="M46" i="129" s="1"/>
  <c r="V46" i="129" s="1"/>
  <c r="D46" i="114"/>
  <c r="E46" i="114" s="1"/>
  <c r="H46" i="114" s="1"/>
  <c r="I46" i="114" s="1"/>
  <c r="J46" i="114" s="1"/>
  <c r="L46" i="114" s="1"/>
  <c r="D46" i="119"/>
  <c r="E46" i="119" s="1"/>
  <c r="H46" i="119" s="1"/>
  <c r="P46" i="33" s="1"/>
  <c r="D46" i="125"/>
  <c r="E46" i="125" s="1"/>
  <c r="H46" i="125" s="1"/>
  <c r="I46" i="125" s="1"/>
  <c r="J46" i="125" s="1"/>
  <c r="L46" i="125" s="1"/>
  <c r="M46" i="125" s="1"/>
  <c r="V46" i="125" s="1"/>
  <c r="AS26" i="1"/>
  <c r="AD26" i="1"/>
  <c r="AE26" i="1" s="1"/>
  <c r="AF35" i="1"/>
  <c r="AK64" i="1"/>
  <c r="AL64" i="1" s="1"/>
  <c r="D63" i="118" s="1"/>
  <c r="E63" i="118" s="1"/>
  <c r="H63" i="118" s="1"/>
  <c r="D46" i="128"/>
  <c r="E46" i="128" s="1"/>
  <c r="H46" i="128" s="1"/>
  <c r="I46" i="128" s="1"/>
  <c r="J46" i="128" s="1"/>
  <c r="L46" i="128" s="1"/>
  <c r="D46" i="117"/>
  <c r="E46" i="117" s="1"/>
  <c r="H46" i="117" s="1"/>
  <c r="N46" i="33" s="1"/>
  <c r="D43" i="76"/>
  <c r="E43" i="76" s="1"/>
  <c r="H43" i="76" s="1"/>
  <c r="J43" i="76" s="1"/>
  <c r="K43" i="76" s="1"/>
  <c r="M43" i="76" s="1"/>
  <c r="D46" i="120"/>
  <c r="E46" i="120" s="1"/>
  <c r="H46" i="120" s="1"/>
  <c r="I46" i="120" s="1"/>
  <c r="J46" i="120" s="1"/>
  <c r="L46" i="120" s="1"/>
  <c r="V37" i="1"/>
  <c r="D46" i="127"/>
  <c r="E46" i="127" s="1"/>
  <c r="H46" i="127" s="1"/>
  <c r="I46" i="127" s="1"/>
  <c r="J46" i="127" s="1"/>
  <c r="L46" i="127" s="1"/>
  <c r="AG63" i="1"/>
  <c r="D46" i="116"/>
  <c r="E46" i="116" s="1"/>
  <c r="H46" i="116" s="1"/>
  <c r="I46" i="116" s="1"/>
  <c r="J46" i="116" s="1"/>
  <c r="L46" i="116" s="1"/>
  <c r="D46" i="115"/>
  <c r="E46" i="115" s="1"/>
  <c r="H46" i="115" s="1"/>
  <c r="L46" i="33" s="1"/>
  <c r="D43" i="80"/>
  <c r="E43" i="80" s="1"/>
  <c r="H43" i="80" s="1"/>
  <c r="J43" i="80" s="1"/>
  <c r="K43" i="80" s="1"/>
  <c r="M43" i="80" s="1"/>
  <c r="D46" i="113"/>
  <c r="E46" i="113" s="1"/>
  <c r="H46" i="113" s="1"/>
  <c r="I46" i="113" s="1"/>
  <c r="J46" i="113" s="1"/>
  <c r="L46" i="113" s="1"/>
  <c r="M46" i="113" s="1"/>
  <c r="D46" i="126"/>
  <c r="E46" i="126" s="1"/>
  <c r="H46" i="126" s="1"/>
  <c r="I46" i="126" s="1"/>
  <c r="J46" i="126" s="1"/>
  <c r="L46" i="126" s="1"/>
  <c r="D46" i="118"/>
  <c r="E46" i="118" s="1"/>
  <c r="H46" i="118" s="1"/>
  <c r="I46" i="118" s="1"/>
  <c r="J46" i="118" s="1"/>
  <c r="L46" i="118" s="1"/>
  <c r="AD37" i="1"/>
  <c r="AE37" i="1" s="1"/>
  <c r="AS37" i="1"/>
  <c r="AO60" i="1"/>
  <c r="AP60" i="1" s="1"/>
  <c r="AG75" i="1"/>
  <c r="AK75" i="1" s="1"/>
  <c r="AL75" i="1" s="1"/>
  <c r="AF75" i="1"/>
  <c r="AT59" i="1"/>
  <c r="L58" i="67"/>
  <c r="O58" i="67" s="1"/>
  <c r="P58" i="67" s="1"/>
  <c r="AS57" i="1"/>
  <c r="AD57" i="1"/>
  <c r="AE57" i="1" s="1"/>
  <c r="AO47" i="1"/>
  <c r="AW47" i="1" s="1"/>
  <c r="AV47" i="1" s="1"/>
  <c r="AH60" i="1"/>
  <c r="AS73" i="1"/>
  <c r="AD73" i="1"/>
  <c r="AE73" i="1" s="1"/>
  <c r="L59" i="67"/>
  <c r="O59" i="67" s="1"/>
  <c r="P59" i="67" s="1"/>
  <c r="AT60" i="1"/>
  <c r="AO64" i="1"/>
  <c r="AP64" i="1" s="1"/>
  <c r="AD29" i="1"/>
  <c r="AE29" i="1" s="1"/>
  <c r="V29" i="1"/>
  <c r="AF60" i="1"/>
  <c r="AS29" i="1"/>
  <c r="AK59" i="1"/>
  <c r="AL59" i="1" s="1"/>
  <c r="D58" i="114" s="1"/>
  <c r="E58" i="114" s="1"/>
  <c r="H58" i="114" s="1"/>
  <c r="K58" i="33" s="1"/>
  <c r="AO59" i="1"/>
  <c r="C58" i="33" s="1"/>
  <c r="V73" i="1"/>
  <c r="E43" i="81"/>
  <c r="G47" i="81"/>
  <c r="H47" i="81"/>
  <c r="AD21" i="1"/>
  <c r="AE21" i="1" s="1"/>
  <c r="AS21" i="1"/>
  <c r="BA59" i="1"/>
  <c r="R75" i="2"/>
  <c r="AM87" i="1" s="1"/>
  <c r="AI77" i="1"/>
  <c r="AJ77" i="1" s="1"/>
  <c r="V31" i="1"/>
  <c r="AS11" i="1"/>
  <c r="AD11" i="1"/>
  <c r="AE11" i="1" s="1"/>
  <c r="AS52" i="1"/>
  <c r="AD52" i="1"/>
  <c r="AE52" i="1" s="1"/>
  <c r="AF52" i="1" s="1"/>
  <c r="V11" i="1"/>
  <c r="AS53" i="1"/>
  <c r="AD53" i="1"/>
  <c r="AE53" i="1" s="1"/>
  <c r="V53" i="1"/>
  <c r="AM77" i="1"/>
  <c r="AN77" i="1" s="1"/>
  <c r="V21" i="1"/>
  <c r="AD31" i="1"/>
  <c r="AE31" i="1" s="1"/>
  <c r="AS31" i="1"/>
  <c r="AD45" i="1"/>
  <c r="AE45" i="1" s="1"/>
  <c r="AS45" i="1"/>
  <c r="V45" i="1"/>
  <c r="AD36" i="1"/>
  <c r="AE36" i="1" s="1"/>
  <c r="AF36" i="1" s="1"/>
  <c r="AS36" i="1"/>
  <c r="V68" i="1"/>
  <c r="V49" i="1"/>
  <c r="V34" i="1"/>
  <c r="V22" i="1"/>
  <c r="AD17" i="1"/>
  <c r="AE17" i="1" s="1"/>
  <c r="AS17" i="1"/>
  <c r="V41" i="1"/>
  <c r="AS25" i="1"/>
  <c r="AD25" i="1"/>
  <c r="AE25" i="1" s="1"/>
  <c r="AF25" i="1" s="1"/>
  <c r="V18" i="1"/>
  <c r="AD15" i="1"/>
  <c r="AE15" i="1" s="1"/>
  <c r="AS15" i="1"/>
  <c r="V30" i="1"/>
  <c r="V40" i="1"/>
  <c r="V33" i="1"/>
  <c r="V74" i="1"/>
  <c r="AS40" i="1"/>
  <c r="AD40" i="1"/>
  <c r="AE40" i="1" s="1"/>
  <c r="V17" i="1"/>
  <c r="AS38" i="1"/>
  <c r="AD38" i="1"/>
  <c r="AE38" i="1" s="1"/>
  <c r="V20" i="1"/>
  <c r="V50" i="1"/>
  <c r="AD9" i="1"/>
  <c r="AE9" i="1" s="1"/>
  <c r="AS9" i="1"/>
  <c r="V54" i="1"/>
  <c r="AS39" i="1"/>
  <c r="AD39" i="1"/>
  <c r="AE39" i="1" s="1"/>
  <c r="AG39" i="1" s="1"/>
  <c r="AD56" i="1"/>
  <c r="AE56" i="1" s="1"/>
  <c r="AG56" i="1" s="1"/>
  <c r="AS56" i="1"/>
  <c r="V56" i="1"/>
  <c r="AS27" i="1"/>
  <c r="AD27" i="1"/>
  <c r="AE27" i="1" s="1"/>
  <c r="AF27" i="1" s="1"/>
  <c r="V55" i="1"/>
  <c r="AD33" i="1"/>
  <c r="AE33" i="1" s="1"/>
  <c r="AS33" i="1"/>
  <c r="AD32" i="1"/>
  <c r="AE32" i="1" s="1"/>
  <c r="AG32" i="1" s="1"/>
  <c r="AS32" i="1"/>
  <c r="V32" i="1"/>
  <c r="V71" i="1"/>
  <c r="AS43" i="1"/>
  <c r="AD43" i="1"/>
  <c r="AE43" i="1" s="1"/>
  <c r="AG43" i="1" s="1"/>
  <c r="AD48" i="1"/>
  <c r="AE48" i="1" s="1"/>
  <c r="AS48" i="1"/>
  <c r="V48" i="1"/>
  <c r="AS68" i="1"/>
  <c r="AD68" i="1"/>
  <c r="AE68" i="1" s="1"/>
  <c r="AS71" i="1"/>
  <c r="AD71" i="1"/>
  <c r="AE71" i="1" s="1"/>
  <c r="AG71" i="1" s="1"/>
  <c r="AS61" i="1"/>
  <c r="AD61" i="1"/>
  <c r="AE61" i="1" s="1"/>
  <c r="AD20" i="1"/>
  <c r="AE20" i="1" s="1"/>
  <c r="AS20" i="1"/>
  <c r="V19" i="1"/>
  <c r="V25" i="1"/>
  <c r="AD50" i="1"/>
  <c r="AE50" i="1" s="1"/>
  <c r="AG50" i="1" s="1"/>
  <c r="AS50" i="1"/>
  <c r="AD66" i="1"/>
  <c r="AE66" i="1" s="1"/>
  <c r="AS66" i="1"/>
  <c r="AD12" i="1"/>
  <c r="AE12" i="1" s="1"/>
  <c r="AF12" i="1" s="1"/>
  <c r="AS12" i="1"/>
  <c r="V28" i="1"/>
  <c r="AD55" i="1"/>
  <c r="AE55" i="1" s="1"/>
  <c r="AS55" i="1"/>
  <c r="AS18" i="1"/>
  <c r="AD18" i="1"/>
  <c r="AE18" i="1" s="1"/>
  <c r="V15" i="1"/>
  <c r="AD14" i="1"/>
  <c r="AE14" i="1" s="1"/>
  <c r="AS14" i="1"/>
  <c r="AD30" i="1"/>
  <c r="AE30" i="1" s="1"/>
  <c r="AS30" i="1"/>
  <c r="V42" i="1"/>
  <c r="V36" i="1"/>
  <c r="AD51" i="1"/>
  <c r="AE51" i="1" s="1"/>
  <c r="AS51" i="1"/>
  <c r="V76" i="1"/>
  <c r="V43" i="1"/>
  <c r="AD22" i="1"/>
  <c r="AE22" i="1" s="1"/>
  <c r="AS22" i="1"/>
  <c r="AF65" i="1"/>
  <c r="AG65" i="1"/>
  <c r="AS28" i="1"/>
  <c r="AD28" i="1"/>
  <c r="AE28" i="1" s="1"/>
  <c r="AS54" i="1"/>
  <c r="AD54" i="1"/>
  <c r="AE54" i="1" s="1"/>
  <c r="AG54" i="1" s="1"/>
  <c r="AO54" i="1" s="1"/>
  <c r="AS42" i="1"/>
  <c r="AD42" i="1"/>
  <c r="AE42" i="1" s="1"/>
  <c r="V69" i="1"/>
  <c r="AD44" i="1"/>
  <c r="AE44" i="1" s="1"/>
  <c r="AS44" i="1"/>
  <c r="AS74" i="1"/>
  <c r="AD74" i="1"/>
  <c r="AE74" i="1" s="1"/>
  <c r="V10" i="1"/>
  <c r="AD49" i="1"/>
  <c r="AE49" i="1" s="1"/>
  <c r="AS49" i="1"/>
  <c r="L64" i="67"/>
  <c r="O64" i="67" s="1"/>
  <c r="P64" i="67" s="1"/>
  <c r="AT65" i="1"/>
  <c r="AS19" i="1"/>
  <c r="AD19" i="1"/>
  <c r="AE19" i="1" s="1"/>
  <c r="AD69" i="1"/>
  <c r="AE69" i="1" s="1"/>
  <c r="AS69" i="1"/>
  <c r="V44" i="1"/>
  <c r="V51" i="1"/>
  <c r="AS76" i="1"/>
  <c r="AD76" i="1"/>
  <c r="AE76" i="1" s="1"/>
  <c r="AD67" i="1"/>
  <c r="AE67" i="1" s="1"/>
  <c r="AS67" i="1"/>
  <c r="AS10" i="1"/>
  <c r="AD10" i="1"/>
  <c r="AE10" i="1" s="1"/>
  <c r="AD58" i="1"/>
  <c r="AE58" i="1" s="1"/>
  <c r="AS58" i="1"/>
  <c r="V38" i="1"/>
  <c r="AD34" i="1"/>
  <c r="AE34" i="1" s="1"/>
  <c r="AS34" i="1"/>
  <c r="AD41" i="1"/>
  <c r="AE41" i="1" s="1"/>
  <c r="AG41" i="1" s="1"/>
  <c r="AS41" i="1"/>
  <c r="AD70" i="1"/>
  <c r="AE70" i="1" s="1"/>
  <c r="AG70" i="1" s="1"/>
  <c r="AS70" i="1"/>
  <c r="V70" i="1"/>
  <c r="V39" i="1"/>
  <c r="V14" i="1"/>
  <c r="L23" i="67"/>
  <c r="O23" i="67" s="1"/>
  <c r="P23" i="67" s="1"/>
  <c r="AT24" i="1"/>
  <c r="AB16" i="1"/>
  <c r="AB77" i="1" s="1"/>
  <c r="T16" i="1"/>
  <c r="R77" i="1"/>
  <c r="H10" i="137"/>
  <c r="AK23" i="1"/>
  <c r="AL23" i="1" s="1"/>
  <c r="AO23" i="1"/>
  <c r="AH23" i="1"/>
  <c r="V21" i="100"/>
  <c r="R22" i="67"/>
  <c r="S22" i="67" s="1"/>
  <c r="W21" i="72" s="1"/>
  <c r="V73" i="100"/>
  <c r="R74" i="67"/>
  <c r="S74" i="67" s="1"/>
  <c r="W73" i="72" s="1"/>
  <c r="R61" i="67"/>
  <c r="S61" i="67" s="1"/>
  <c r="W60" i="72" s="1"/>
  <c r="V60" i="100"/>
  <c r="AH13" i="1"/>
  <c r="AK13" i="1"/>
  <c r="AL13" i="1" s="1"/>
  <c r="AO13" i="1"/>
  <c r="R12" i="67"/>
  <c r="S12" i="67" s="1"/>
  <c r="W11" i="72" s="1"/>
  <c r="V11" i="100"/>
  <c r="AH62" i="1"/>
  <c r="AK62" i="1"/>
  <c r="AL62" i="1" s="1"/>
  <c r="AO62" i="1"/>
  <c r="V62" i="100"/>
  <c r="R63" i="67"/>
  <c r="S63" i="67" s="1"/>
  <c r="W62" i="72" s="1"/>
  <c r="V44" i="100"/>
  <c r="R45" i="67"/>
  <c r="S45" i="67" s="1"/>
  <c r="W44" i="72" s="1"/>
  <c r="AO46" i="1"/>
  <c r="AH46" i="1"/>
  <c r="AK46" i="1"/>
  <c r="AL46" i="1" s="1"/>
  <c r="C71" i="33"/>
  <c r="AW72" i="1"/>
  <c r="AP72" i="1"/>
  <c r="BA72" i="1"/>
  <c r="W45" i="100"/>
  <c r="D71" i="129"/>
  <c r="E71" i="129" s="1"/>
  <c r="H71" i="129" s="1"/>
  <c r="D68" i="80"/>
  <c r="E68" i="80" s="1"/>
  <c r="H68" i="80" s="1"/>
  <c r="D71" i="115"/>
  <c r="E71" i="115" s="1"/>
  <c r="H71" i="115" s="1"/>
  <c r="D71" i="127"/>
  <c r="E71" i="127" s="1"/>
  <c r="H71" i="127" s="1"/>
  <c r="D71" i="126"/>
  <c r="E71" i="126" s="1"/>
  <c r="H71" i="126" s="1"/>
  <c r="D71" i="119"/>
  <c r="E71" i="119" s="1"/>
  <c r="H71" i="119" s="1"/>
  <c r="D71" i="113"/>
  <c r="E71" i="113" s="1"/>
  <c r="H71" i="113" s="1"/>
  <c r="D71" i="118"/>
  <c r="E71" i="118" s="1"/>
  <c r="H71" i="118" s="1"/>
  <c r="D71" i="131"/>
  <c r="E71" i="131" s="1"/>
  <c r="H71" i="131" s="1"/>
  <c r="D68" i="76"/>
  <c r="E68" i="76" s="1"/>
  <c r="H68" i="76" s="1"/>
  <c r="D71" i="125"/>
  <c r="E71" i="125" s="1"/>
  <c r="H71" i="125" s="1"/>
  <c r="D71" i="116"/>
  <c r="E71" i="116" s="1"/>
  <c r="H71" i="116" s="1"/>
  <c r="D71" i="128"/>
  <c r="E71" i="128" s="1"/>
  <c r="H71" i="128" s="1"/>
  <c r="D71" i="120"/>
  <c r="E71" i="120" s="1"/>
  <c r="H71" i="120" s="1"/>
  <c r="D71" i="114"/>
  <c r="E71" i="114" s="1"/>
  <c r="H71" i="114" s="1"/>
  <c r="D71" i="117"/>
  <c r="E71" i="117" s="1"/>
  <c r="H71" i="117" s="1"/>
  <c r="AS8" i="1"/>
  <c r="AD8" i="1"/>
  <c r="D31" i="80" l="1"/>
  <c r="E31" i="80" s="1"/>
  <c r="H31" i="80" s="1"/>
  <c r="J31" i="80" s="1"/>
  <c r="K31" i="80" s="1"/>
  <c r="M31" i="80" s="1"/>
  <c r="D34" i="127"/>
  <c r="E34" i="127" s="1"/>
  <c r="H34" i="127" s="1"/>
  <c r="D34" i="126"/>
  <c r="E34" i="126" s="1"/>
  <c r="H34" i="126" s="1"/>
  <c r="D34" i="129"/>
  <c r="E34" i="129" s="1"/>
  <c r="H34" i="129" s="1"/>
  <c r="I34" i="129" s="1"/>
  <c r="J34" i="129" s="1"/>
  <c r="L34" i="129" s="1"/>
  <c r="M34" i="129" s="1"/>
  <c r="V34" i="129" s="1"/>
  <c r="D34" i="119"/>
  <c r="E34" i="119" s="1"/>
  <c r="H34" i="119" s="1"/>
  <c r="P34" i="33" s="1"/>
  <c r="D34" i="117"/>
  <c r="E34" i="117" s="1"/>
  <c r="H34" i="117" s="1"/>
  <c r="N34" i="33" s="1"/>
  <c r="AG24" i="1"/>
  <c r="AH24" i="1" s="1"/>
  <c r="D34" i="115"/>
  <c r="E34" i="115" s="1"/>
  <c r="H34" i="115" s="1"/>
  <c r="I34" i="115" s="1"/>
  <c r="J34" i="115" s="1"/>
  <c r="L34" i="115" s="1"/>
  <c r="D34" i="125"/>
  <c r="E34" i="125" s="1"/>
  <c r="H34" i="125" s="1"/>
  <c r="I34" i="125" s="1"/>
  <c r="J34" i="125" s="1"/>
  <c r="L34" i="125" s="1"/>
  <c r="M34" i="125" s="1"/>
  <c r="V34" i="125" s="1"/>
  <c r="D59" i="119"/>
  <c r="E59" i="119" s="1"/>
  <c r="H59" i="119" s="1"/>
  <c r="P59" i="33" s="1"/>
  <c r="D59" i="129"/>
  <c r="E59" i="129" s="1"/>
  <c r="H59" i="129" s="1"/>
  <c r="D56" i="80"/>
  <c r="E56" i="80" s="1"/>
  <c r="H56" i="80" s="1"/>
  <c r="J56" i="80" s="1"/>
  <c r="K56" i="80" s="1"/>
  <c r="M56" i="80" s="1"/>
  <c r="N56" i="80" s="1"/>
  <c r="W56" i="80" s="1"/>
  <c r="D59" i="116"/>
  <c r="E59" i="116" s="1"/>
  <c r="H59" i="116" s="1"/>
  <c r="I59" i="116" s="1"/>
  <c r="J59" i="116" s="1"/>
  <c r="L59" i="116" s="1"/>
  <c r="D59" i="113"/>
  <c r="E59" i="113" s="1"/>
  <c r="H59" i="113" s="1"/>
  <c r="I59" i="113" s="1"/>
  <c r="J59" i="113" s="1"/>
  <c r="L59" i="113" s="1"/>
  <c r="M59" i="113" s="1"/>
  <c r="D59" i="115"/>
  <c r="E59" i="115" s="1"/>
  <c r="H59" i="115" s="1"/>
  <c r="I59" i="115" s="1"/>
  <c r="J59" i="115" s="1"/>
  <c r="L59" i="115" s="1"/>
  <c r="D63" i="120"/>
  <c r="E63" i="120" s="1"/>
  <c r="H63" i="120" s="1"/>
  <c r="Q63" i="33" s="1"/>
  <c r="Q46" i="33"/>
  <c r="D59" i="126"/>
  <c r="E59" i="126" s="1"/>
  <c r="H59" i="126" s="1"/>
  <c r="I59" i="126" s="1"/>
  <c r="J59" i="126" s="1"/>
  <c r="L59" i="126" s="1"/>
  <c r="U59" i="126" s="1"/>
  <c r="D59" i="114"/>
  <c r="E59" i="114" s="1"/>
  <c r="H59" i="114" s="1"/>
  <c r="I59" i="114" s="1"/>
  <c r="J59" i="114" s="1"/>
  <c r="L59" i="114" s="1"/>
  <c r="D63" i="125"/>
  <c r="E63" i="125" s="1"/>
  <c r="H63" i="125" s="1"/>
  <c r="I63" i="125" s="1"/>
  <c r="J63" i="125" s="1"/>
  <c r="L63" i="125" s="1"/>
  <c r="U63" i="125" s="1"/>
  <c r="D59" i="128"/>
  <c r="E59" i="128" s="1"/>
  <c r="H59" i="128" s="1"/>
  <c r="I59" i="128" s="1"/>
  <c r="J59" i="128" s="1"/>
  <c r="L59" i="128" s="1"/>
  <c r="M59" i="128" s="1"/>
  <c r="V59" i="128" s="1"/>
  <c r="D59" i="117"/>
  <c r="E59" i="117" s="1"/>
  <c r="H59" i="117" s="1"/>
  <c r="I59" i="117" s="1"/>
  <c r="J59" i="117" s="1"/>
  <c r="L59" i="117" s="1"/>
  <c r="D59" i="120"/>
  <c r="E59" i="120" s="1"/>
  <c r="H59" i="120" s="1"/>
  <c r="I59" i="120" s="1"/>
  <c r="J59" i="120" s="1"/>
  <c r="L59" i="120" s="1"/>
  <c r="D59" i="125"/>
  <c r="E59" i="125" s="1"/>
  <c r="H59" i="125" s="1"/>
  <c r="I59" i="125" s="1"/>
  <c r="J59" i="125" s="1"/>
  <c r="L59" i="125" s="1"/>
  <c r="D63" i="113"/>
  <c r="E63" i="113" s="1"/>
  <c r="H63" i="113" s="1"/>
  <c r="J63" i="33" s="1"/>
  <c r="D59" i="127"/>
  <c r="E59" i="127" s="1"/>
  <c r="H59" i="127" s="1"/>
  <c r="D56" i="76"/>
  <c r="E56" i="76" s="1"/>
  <c r="H56" i="76" s="1"/>
  <c r="J56" i="76" s="1"/>
  <c r="K56" i="76" s="1"/>
  <c r="M56" i="76" s="1"/>
  <c r="D59" i="131"/>
  <c r="E59" i="131" s="1"/>
  <c r="H59" i="131" s="1"/>
  <c r="I59" i="131" s="1"/>
  <c r="J59" i="131" s="1"/>
  <c r="L59" i="131" s="1"/>
  <c r="M59" i="131" s="1"/>
  <c r="V59" i="131" s="1"/>
  <c r="D63" i="131"/>
  <c r="E63" i="131" s="1"/>
  <c r="H63" i="131" s="1"/>
  <c r="I63" i="131" s="1"/>
  <c r="J63" i="131" s="1"/>
  <c r="L63" i="131" s="1"/>
  <c r="M63" i="131" s="1"/>
  <c r="V63" i="131" s="1"/>
  <c r="K46" i="33"/>
  <c r="I43" i="80"/>
  <c r="S46" i="33" s="1"/>
  <c r="D63" i="128"/>
  <c r="E63" i="128" s="1"/>
  <c r="H63" i="128" s="1"/>
  <c r="I63" i="128" s="1"/>
  <c r="J63" i="128" s="1"/>
  <c r="L63" i="128" s="1"/>
  <c r="M63" i="128" s="1"/>
  <c r="V63" i="128" s="1"/>
  <c r="D31" i="76"/>
  <c r="E31" i="76" s="1"/>
  <c r="H31" i="76" s="1"/>
  <c r="J31" i="76" s="1"/>
  <c r="K31" i="76" s="1"/>
  <c r="M31" i="76" s="1"/>
  <c r="D63" i="114"/>
  <c r="E63" i="114" s="1"/>
  <c r="H63" i="114" s="1"/>
  <c r="I63" i="114" s="1"/>
  <c r="J63" i="114" s="1"/>
  <c r="L63" i="114" s="1"/>
  <c r="AH35" i="1"/>
  <c r="D60" i="76"/>
  <c r="E60" i="76" s="1"/>
  <c r="H60" i="76" s="1"/>
  <c r="J60" i="76" s="1"/>
  <c r="K60" i="76" s="1"/>
  <c r="M60" i="76" s="1"/>
  <c r="D63" i="119"/>
  <c r="E63" i="119" s="1"/>
  <c r="H63" i="119" s="1"/>
  <c r="P63" i="33" s="1"/>
  <c r="D63" i="115"/>
  <c r="E63" i="115" s="1"/>
  <c r="H63" i="115" s="1"/>
  <c r="L63" i="33" s="1"/>
  <c r="U46" i="125"/>
  <c r="D34" i="113"/>
  <c r="E34" i="113" s="1"/>
  <c r="H34" i="113" s="1"/>
  <c r="I34" i="113" s="1"/>
  <c r="J34" i="113" s="1"/>
  <c r="L34" i="113" s="1"/>
  <c r="M34" i="113" s="1"/>
  <c r="D34" i="120"/>
  <c r="E34" i="120" s="1"/>
  <c r="H34" i="120" s="1"/>
  <c r="Q34" i="33" s="1"/>
  <c r="D34" i="128"/>
  <c r="E34" i="128" s="1"/>
  <c r="H34" i="128" s="1"/>
  <c r="I34" i="128" s="1"/>
  <c r="J34" i="128" s="1"/>
  <c r="L34" i="128" s="1"/>
  <c r="M34" i="128" s="1"/>
  <c r="V34" i="128" s="1"/>
  <c r="D63" i="126"/>
  <c r="E63" i="126" s="1"/>
  <c r="H63" i="126" s="1"/>
  <c r="I63" i="126" s="1"/>
  <c r="J63" i="126" s="1"/>
  <c r="L63" i="126" s="1"/>
  <c r="M63" i="126" s="1"/>
  <c r="V63" i="126" s="1"/>
  <c r="D63" i="116"/>
  <c r="E63" i="116" s="1"/>
  <c r="H63" i="116" s="1"/>
  <c r="M63" i="33" s="1"/>
  <c r="D63" i="129"/>
  <c r="E63" i="129" s="1"/>
  <c r="H63" i="129" s="1"/>
  <c r="I63" i="129" s="1"/>
  <c r="J63" i="129" s="1"/>
  <c r="L63" i="129" s="1"/>
  <c r="U63" i="129" s="1"/>
  <c r="D34" i="118"/>
  <c r="E34" i="118" s="1"/>
  <c r="H34" i="118" s="1"/>
  <c r="I34" i="118" s="1"/>
  <c r="J34" i="118" s="1"/>
  <c r="L34" i="118" s="1"/>
  <c r="D34" i="114"/>
  <c r="E34" i="114" s="1"/>
  <c r="H34" i="114" s="1"/>
  <c r="I34" i="114" s="1"/>
  <c r="J34" i="114" s="1"/>
  <c r="L34" i="114" s="1"/>
  <c r="D34" i="116"/>
  <c r="E34" i="116" s="1"/>
  <c r="H34" i="116" s="1"/>
  <c r="I34" i="116" s="1"/>
  <c r="J34" i="116" s="1"/>
  <c r="L34" i="116" s="1"/>
  <c r="D60" i="80"/>
  <c r="E60" i="80" s="1"/>
  <c r="H60" i="80" s="1"/>
  <c r="J60" i="80" s="1"/>
  <c r="K60" i="80" s="1"/>
  <c r="M60" i="80" s="1"/>
  <c r="N60" i="80" s="1"/>
  <c r="W60" i="80" s="1"/>
  <c r="D63" i="127"/>
  <c r="E63" i="127" s="1"/>
  <c r="H63" i="127" s="1"/>
  <c r="I63" i="127" s="1"/>
  <c r="J63" i="127" s="1"/>
  <c r="L63" i="127" s="1"/>
  <c r="M63" i="127" s="1"/>
  <c r="V63" i="127" s="1"/>
  <c r="D63" i="117"/>
  <c r="E63" i="117" s="1"/>
  <c r="H63" i="117" s="1"/>
  <c r="I63" i="117" s="1"/>
  <c r="J63" i="117" s="1"/>
  <c r="L63" i="117" s="1"/>
  <c r="AO75" i="1"/>
  <c r="AP75" i="1" s="1"/>
  <c r="AO35" i="1"/>
  <c r="AP35" i="1" s="1"/>
  <c r="D34" i="67" s="1"/>
  <c r="E34" i="67" s="1"/>
  <c r="F34" i="67" s="1"/>
  <c r="G34" i="67" s="1"/>
  <c r="J46" i="33"/>
  <c r="U46" i="129"/>
  <c r="AG26" i="1"/>
  <c r="AT26" i="1"/>
  <c r="L25" i="67"/>
  <c r="O25" i="67" s="1"/>
  <c r="P25" i="67" s="1"/>
  <c r="I46" i="117"/>
  <c r="J46" i="117" s="1"/>
  <c r="L46" i="117" s="1"/>
  <c r="O46" i="117" s="1"/>
  <c r="W46" i="117" s="1"/>
  <c r="I46" i="119"/>
  <c r="J46" i="119" s="1"/>
  <c r="L46" i="119" s="1"/>
  <c r="M46" i="119" s="1"/>
  <c r="V46" i="119" s="1"/>
  <c r="AF26" i="1"/>
  <c r="I43" i="76"/>
  <c r="R46" i="33" s="1"/>
  <c r="AH75" i="1"/>
  <c r="AG14" i="1"/>
  <c r="AO14" i="1" s="1"/>
  <c r="I46" i="115"/>
  <c r="J46" i="115" s="1"/>
  <c r="L46" i="115" s="1"/>
  <c r="M46" i="115" s="1"/>
  <c r="V46" i="115" s="1"/>
  <c r="C59" i="33"/>
  <c r="M46" i="33"/>
  <c r="AW64" i="1"/>
  <c r="AQ64" i="1" s="1"/>
  <c r="AW60" i="1"/>
  <c r="AV60" i="1" s="1"/>
  <c r="AT37" i="1"/>
  <c r="L36" i="67"/>
  <c r="O36" i="67" s="1"/>
  <c r="P36" i="67" s="1"/>
  <c r="O46" i="33"/>
  <c r="D58" i="117"/>
  <c r="E58" i="117" s="1"/>
  <c r="H58" i="117" s="1"/>
  <c r="I58" i="117" s="1"/>
  <c r="J58" i="117" s="1"/>
  <c r="L58" i="117" s="1"/>
  <c r="O58" i="117" s="1"/>
  <c r="W58" i="117" s="1"/>
  <c r="AF37" i="1"/>
  <c r="BA60" i="1"/>
  <c r="AG37" i="1"/>
  <c r="AH63" i="1"/>
  <c r="AO63" i="1"/>
  <c r="AK63" i="1"/>
  <c r="AL63" i="1" s="1"/>
  <c r="AQ47" i="1"/>
  <c r="AX47" i="1"/>
  <c r="BA47" i="1"/>
  <c r="I58" i="114"/>
  <c r="J58" i="114" s="1"/>
  <c r="L58" i="114" s="1"/>
  <c r="U58" i="114" s="1"/>
  <c r="D58" i="118"/>
  <c r="E58" i="118" s="1"/>
  <c r="H58" i="118" s="1"/>
  <c r="O58" i="33" s="1"/>
  <c r="C46" i="33"/>
  <c r="D55" i="80"/>
  <c r="E55" i="80" s="1"/>
  <c r="H55" i="80" s="1"/>
  <c r="J55" i="80" s="1"/>
  <c r="K55" i="80" s="1"/>
  <c r="M55" i="80" s="1"/>
  <c r="V55" i="80" s="1"/>
  <c r="D58" i="127"/>
  <c r="E58" i="127" s="1"/>
  <c r="H58" i="127" s="1"/>
  <c r="I58" i="127" s="1"/>
  <c r="J58" i="127" s="1"/>
  <c r="L58" i="127" s="1"/>
  <c r="U58" i="127" s="1"/>
  <c r="AP47" i="1"/>
  <c r="D46" i="67" s="1"/>
  <c r="E46" i="67" s="1"/>
  <c r="F46" i="67" s="1"/>
  <c r="G46" i="67" s="1"/>
  <c r="J46" i="67" s="1"/>
  <c r="K46" i="67" s="1"/>
  <c r="W46" i="67" s="1"/>
  <c r="AG57" i="1"/>
  <c r="BA64" i="1"/>
  <c r="C63" i="33"/>
  <c r="D58" i="115"/>
  <c r="E58" i="115" s="1"/>
  <c r="H58" i="115" s="1"/>
  <c r="I58" i="115" s="1"/>
  <c r="J58" i="115" s="1"/>
  <c r="L58" i="115" s="1"/>
  <c r="U58" i="115" s="1"/>
  <c r="D55" i="76"/>
  <c r="E55" i="76" s="1"/>
  <c r="H55" i="76" s="1"/>
  <c r="J55" i="76" s="1"/>
  <c r="K55" i="76" s="1"/>
  <c r="M55" i="76" s="1"/>
  <c r="N55" i="76" s="1"/>
  <c r="W55" i="76" s="1"/>
  <c r="AG40" i="1"/>
  <c r="AH40" i="1" s="1"/>
  <c r="AF53" i="1"/>
  <c r="V57" i="100"/>
  <c r="W57" i="100" s="1"/>
  <c r="R58" i="67"/>
  <c r="S58" i="67" s="1"/>
  <c r="W57" i="72" s="1"/>
  <c r="AT57" i="1"/>
  <c r="L56" i="67"/>
  <c r="O56" i="67" s="1"/>
  <c r="P56" i="67" s="1"/>
  <c r="D58" i="119"/>
  <c r="E58" i="119" s="1"/>
  <c r="H58" i="119" s="1"/>
  <c r="P58" i="33" s="1"/>
  <c r="D58" i="113"/>
  <c r="E58" i="113" s="1"/>
  <c r="H58" i="113" s="1"/>
  <c r="J58" i="33" s="1"/>
  <c r="AF57" i="1"/>
  <c r="AP59" i="1"/>
  <c r="AW59" i="1"/>
  <c r="AG73" i="1"/>
  <c r="AF73" i="1"/>
  <c r="D58" i="116"/>
  <c r="E58" i="116" s="1"/>
  <c r="H58" i="116" s="1"/>
  <c r="I58" i="116" s="1"/>
  <c r="J58" i="116" s="1"/>
  <c r="L58" i="116" s="1"/>
  <c r="M58" i="116" s="1"/>
  <c r="V58" i="116" s="1"/>
  <c r="D58" i="128"/>
  <c r="E58" i="128" s="1"/>
  <c r="H58" i="128" s="1"/>
  <c r="I58" i="128" s="1"/>
  <c r="J58" i="128" s="1"/>
  <c r="L58" i="128" s="1"/>
  <c r="U58" i="128" s="1"/>
  <c r="D58" i="126"/>
  <c r="E58" i="126" s="1"/>
  <c r="H58" i="126" s="1"/>
  <c r="I58" i="126" s="1"/>
  <c r="J58" i="126" s="1"/>
  <c r="L58" i="126" s="1"/>
  <c r="M58" i="126" s="1"/>
  <c r="V58" i="126" s="1"/>
  <c r="D58" i="120"/>
  <c r="E58" i="120" s="1"/>
  <c r="H58" i="120" s="1"/>
  <c r="Q58" i="33" s="1"/>
  <c r="AF40" i="1"/>
  <c r="AF29" i="1"/>
  <c r="AG29" i="1"/>
  <c r="L72" i="67"/>
  <c r="O72" i="67" s="1"/>
  <c r="P72" i="67" s="1"/>
  <c r="AT73" i="1"/>
  <c r="R59" i="67"/>
  <c r="S59" i="67" s="1"/>
  <c r="W58" i="72" s="1"/>
  <c r="V58" i="100"/>
  <c r="W58" i="100" s="1"/>
  <c r="D58" i="125"/>
  <c r="E58" i="125" s="1"/>
  <c r="H58" i="125" s="1"/>
  <c r="I58" i="125" s="1"/>
  <c r="J58" i="125" s="1"/>
  <c r="L58" i="125" s="1"/>
  <c r="M58" i="125" s="1"/>
  <c r="V58" i="125" s="1"/>
  <c r="D58" i="129"/>
  <c r="E58" i="129" s="1"/>
  <c r="H58" i="129" s="1"/>
  <c r="I58" i="129" s="1"/>
  <c r="J58" i="129" s="1"/>
  <c r="L58" i="129" s="1"/>
  <c r="U58" i="129" s="1"/>
  <c r="D58" i="131"/>
  <c r="E58" i="131" s="1"/>
  <c r="H58" i="131" s="1"/>
  <c r="I58" i="131" s="1"/>
  <c r="J58" i="131" s="1"/>
  <c r="L58" i="131" s="1"/>
  <c r="U58" i="131" s="1"/>
  <c r="L28" i="67"/>
  <c r="O28" i="67" s="1"/>
  <c r="P28" i="67" s="1"/>
  <c r="AT29" i="1"/>
  <c r="AP54" i="1"/>
  <c r="AC53" i="33" s="1"/>
  <c r="BA54" i="1"/>
  <c r="C53" i="33"/>
  <c r="AW54" i="1"/>
  <c r="AQ54" i="1" s="1"/>
  <c r="AO43" i="1"/>
  <c r="BA43" i="1" s="1"/>
  <c r="AK43" i="1"/>
  <c r="AL43" i="1" s="1"/>
  <c r="E16" i="137" s="1"/>
  <c r="H16" i="137" s="1"/>
  <c r="I16" i="137" s="1"/>
  <c r="J16" i="137" s="1"/>
  <c r="M16" i="137" s="1"/>
  <c r="N16" i="137" s="1"/>
  <c r="AH43" i="1"/>
  <c r="L51" i="67"/>
  <c r="O51" i="67" s="1"/>
  <c r="P51" i="67" s="1"/>
  <c r="AT52" i="1"/>
  <c r="AG28" i="1"/>
  <c r="AH28" i="1" s="1"/>
  <c r="L44" i="67"/>
  <c r="O44" i="67" s="1"/>
  <c r="P44" i="67" s="1"/>
  <c r="AT45" i="1"/>
  <c r="AF11" i="1"/>
  <c r="AG15" i="1"/>
  <c r="AH15" i="1" s="1"/>
  <c r="AF15" i="1"/>
  <c r="AF45" i="1"/>
  <c r="AG45" i="1"/>
  <c r="AT53" i="1"/>
  <c r="L52" i="67"/>
  <c r="O52" i="67" s="1"/>
  <c r="P52" i="67" s="1"/>
  <c r="AT11" i="1"/>
  <c r="L10" i="67"/>
  <c r="O10" i="67" s="1"/>
  <c r="P10" i="67" s="1"/>
  <c r="AT21" i="1"/>
  <c r="L20" i="67"/>
  <c r="O20" i="67" s="1"/>
  <c r="P20" i="67" s="1"/>
  <c r="H43" i="81"/>
  <c r="E39" i="81"/>
  <c r="G43" i="81"/>
  <c r="L30" i="67"/>
  <c r="O30" i="67" s="1"/>
  <c r="P30" i="67" s="1"/>
  <c r="AT31" i="1"/>
  <c r="AG53" i="1"/>
  <c r="AF28" i="1"/>
  <c r="AF14" i="1"/>
  <c r="AF20" i="1"/>
  <c r="AG20" i="1"/>
  <c r="AH20" i="1" s="1"/>
  <c r="AF31" i="1"/>
  <c r="AG52" i="1"/>
  <c r="AG31" i="1"/>
  <c r="AG21" i="1"/>
  <c r="AF21" i="1"/>
  <c r="AG11" i="1"/>
  <c r="AO41" i="1"/>
  <c r="AH41" i="1"/>
  <c r="AK41" i="1"/>
  <c r="AL41" i="1" s="1"/>
  <c r="L68" i="67"/>
  <c r="O68" i="67" s="1"/>
  <c r="P68" i="67" s="1"/>
  <c r="AT69" i="1"/>
  <c r="AT44" i="1"/>
  <c r="L43" i="67"/>
  <c r="O43" i="67" s="1"/>
  <c r="P43" i="67" s="1"/>
  <c r="AG55" i="1"/>
  <c r="AF55" i="1"/>
  <c r="AG66" i="1"/>
  <c r="AF66" i="1"/>
  <c r="AG9" i="1"/>
  <c r="AF9" i="1"/>
  <c r="AG38" i="1"/>
  <c r="AF17" i="1"/>
  <c r="AG17" i="1"/>
  <c r="L69" i="67"/>
  <c r="O69" i="67" s="1"/>
  <c r="P69" i="67" s="1"/>
  <c r="AT70" i="1"/>
  <c r="L33" i="67"/>
  <c r="O33" i="67" s="1"/>
  <c r="P33" i="67" s="1"/>
  <c r="AT34" i="1"/>
  <c r="L66" i="67"/>
  <c r="O66" i="67" s="1"/>
  <c r="P66" i="67" s="1"/>
  <c r="AT67" i="1"/>
  <c r="AG18" i="1"/>
  <c r="AF18" i="1"/>
  <c r="AT12" i="1"/>
  <c r="L11" i="67"/>
  <c r="O11" i="67" s="1"/>
  <c r="P11" i="67" s="1"/>
  <c r="L26" i="67"/>
  <c r="O26" i="67" s="1"/>
  <c r="P26" i="67" s="1"/>
  <c r="AT27" i="1"/>
  <c r="L55" i="67"/>
  <c r="O55" i="67" s="1"/>
  <c r="P55" i="67" s="1"/>
  <c r="AT56" i="1"/>
  <c r="AK54" i="1"/>
  <c r="AL54" i="1" s="1"/>
  <c r="D50" i="80" s="1"/>
  <c r="E50" i="80" s="1"/>
  <c r="H50" i="80" s="1"/>
  <c r="J50" i="80" s="1"/>
  <c r="K50" i="80" s="1"/>
  <c r="M50" i="80" s="1"/>
  <c r="AH54" i="1"/>
  <c r="AO70" i="1"/>
  <c r="AH70" i="1"/>
  <c r="AK70" i="1"/>
  <c r="AL70" i="1" s="1"/>
  <c r="AF70" i="1"/>
  <c r="AG58" i="1"/>
  <c r="AF58" i="1"/>
  <c r="AG67" i="1"/>
  <c r="AF67" i="1"/>
  <c r="AT54" i="1"/>
  <c r="L53" i="67"/>
  <c r="O53" i="67" s="1"/>
  <c r="P53" i="67" s="1"/>
  <c r="AO65" i="1"/>
  <c r="AH65" i="1"/>
  <c r="AK65" i="1"/>
  <c r="AL65" i="1" s="1"/>
  <c r="AG22" i="1"/>
  <c r="AF22" i="1"/>
  <c r="AF30" i="1"/>
  <c r="AG30" i="1"/>
  <c r="L17" i="67"/>
  <c r="O17" i="67" s="1"/>
  <c r="P17" i="67" s="1"/>
  <c r="AT18" i="1"/>
  <c r="AG61" i="1"/>
  <c r="AF61" i="1"/>
  <c r="AF68" i="1"/>
  <c r="L42" i="67"/>
  <c r="O42" i="67" s="1"/>
  <c r="P42" i="67" s="1"/>
  <c r="AT43" i="1"/>
  <c r="AO32" i="1"/>
  <c r="AK32" i="1"/>
  <c r="AL32" i="1" s="1"/>
  <c r="AH32" i="1"/>
  <c r="AF32" i="1"/>
  <c r="AH56" i="1"/>
  <c r="AK56" i="1"/>
  <c r="AL56" i="1" s="1"/>
  <c r="AO56" i="1"/>
  <c r="AF56" i="1"/>
  <c r="AT40" i="1"/>
  <c r="L39" i="67"/>
  <c r="O39" i="67" s="1"/>
  <c r="P39" i="67" s="1"/>
  <c r="AT15" i="1"/>
  <c r="L14" i="67"/>
  <c r="O14" i="67" s="1"/>
  <c r="P14" i="67" s="1"/>
  <c r="AT36" i="1"/>
  <c r="L35" i="67"/>
  <c r="O35" i="67" s="1"/>
  <c r="P35" i="67" s="1"/>
  <c r="AF41" i="1"/>
  <c r="AT20" i="1"/>
  <c r="L19" i="67"/>
  <c r="O19" i="67" s="1"/>
  <c r="P19" i="67" s="1"/>
  <c r="L38" i="67"/>
  <c r="O38" i="67" s="1"/>
  <c r="P38" i="67" s="1"/>
  <c r="AT39" i="1"/>
  <c r="AK39" i="1"/>
  <c r="AL39" i="1" s="1"/>
  <c r="AH39" i="1"/>
  <c r="AO39" i="1"/>
  <c r="AF10" i="1"/>
  <c r="AG10" i="1"/>
  <c r="AT19" i="1"/>
  <c r="L18" i="67"/>
  <c r="O18" i="67" s="1"/>
  <c r="P18" i="67" s="1"/>
  <c r="AF49" i="1"/>
  <c r="AG49" i="1"/>
  <c r="AT74" i="1"/>
  <c r="L73" i="67"/>
  <c r="O73" i="67" s="1"/>
  <c r="P73" i="67" s="1"/>
  <c r="AG42" i="1"/>
  <c r="AF42" i="1"/>
  <c r="AT51" i="1"/>
  <c r="L50" i="67"/>
  <c r="O50" i="67" s="1"/>
  <c r="P50" i="67" s="1"/>
  <c r="AT66" i="1"/>
  <c r="L65" i="67"/>
  <c r="O65" i="67" s="1"/>
  <c r="P65" i="67" s="1"/>
  <c r="AT61" i="1"/>
  <c r="L60" i="67"/>
  <c r="O60" i="67" s="1"/>
  <c r="P60" i="67" s="1"/>
  <c r="L47" i="67"/>
  <c r="O47" i="67" s="1"/>
  <c r="P47" i="67" s="1"/>
  <c r="AT48" i="1"/>
  <c r="AK71" i="1"/>
  <c r="AL71" i="1" s="1"/>
  <c r="AH71" i="1"/>
  <c r="AO71" i="1"/>
  <c r="AT33" i="1"/>
  <c r="L32" i="67"/>
  <c r="O32" i="67" s="1"/>
  <c r="P32" i="67" s="1"/>
  <c r="AT9" i="1"/>
  <c r="L8" i="67"/>
  <c r="O8" i="67" s="1"/>
  <c r="P8" i="67" s="1"/>
  <c r="AF38" i="1"/>
  <c r="L16" i="67"/>
  <c r="O16" i="67" s="1"/>
  <c r="P16" i="67" s="1"/>
  <c r="AT17" i="1"/>
  <c r="AG68" i="1"/>
  <c r="AG36" i="1"/>
  <c r="AH14" i="1"/>
  <c r="AG34" i="1"/>
  <c r="AF34" i="1"/>
  <c r="AT10" i="1"/>
  <c r="L9" i="67"/>
  <c r="O9" i="67" s="1"/>
  <c r="P9" i="67" s="1"/>
  <c r="AG76" i="1"/>
  <c r="AF76" i="1"/>
  <c r="AF69" i="1"/>
  <c r="V63" i="100"/>
  <c r="W63" i="100" s="1"/>
  <c r="R64" i="67"/>
  <c r="S64" i="67" s="1"/>
  <c r="W63" i="72" s="1"/>
  <c r="AF44" i="1"/>
  <c r="AG44" i="1"/>
  <c r="AT42" i="1"/>
  <c r="L41" i="67"/>
  <c r="O41" i="67" s="1"/>
  <c r="P41" i="67" s="1"/>
  <c r="AF51" i="1"/>
  <c r="AG51" i="1"/>
  <c r="AT14" i="1"/>
  <c r="L13" i="67"/>
  <c r="O13" i="67" s="1"/>
  <c r="P13" i="67" s="1"/>
  <c r="L54" i="67"/>
  <c r="O54" i="67" s="1"/>
  <c r="P54" i="67" s="1"/>
  <c r="AT55" i="1"/>
  <c r="AG12" i="1"/>
  <c r="L49" i="67"/>
  <c r="O49" i="67" s="1"/>
  <c r="P49" i="67" s="1"/>
  <c r="AT50" i="1"/>
  <c r="AF71" i="1"/>
  <c r="L67" i="67"/>
  <c r="O67" i="67" s="1"/>
  <c r="P67" i="67" s="1"/>
  <c r="AT68" i="1"/>
  <c r="AF48" i="1"/>
  <c r="AG48" i="1"/>
  <c r="AF33" i="1"/>
  <c r="AG74" i="1"/>
  <c r="AO50" i="1"/>
  <c r="AK50" i="1"/>
  <c r="AL50" i="1" s="1"/>
  <c r="AH50" i="1"/>
  <c r="AT38" i="1"/>
  <c r="L37" i="67"/>
  <c r="O37" i="67" s="1"/>
  <c r="P37" i="67" s="1"/>
  <c r="AG25" i="1"/>
  <c r="AF74" i="1"/>
  <c r="L40" i="67"/>
  <c r="O40" i="67" s="1"/>
  <c r="P40" i="67" s="1"/>
  <c r="AT41" i="1"/>
  <c r="L57" i="67"/>
  <c r="O57" i="67" s="1"/>
  <c r="P57" i="67" s="1"/>
  <c r="AT58" i="1"/>
  <c r="AT76" i="1"/>
  <c r="L75" i="67"/>
  <c r="O75" i="67" s="1"/>
  <c r="P75" i="67" s="1"/>
  <c r="AG69" i="1"/>
  <c r="AG19" i="1"/>
  <c r="AF19" i="1"/>
  <c r="L48" i="67"/>
  <c r="O48" i="67" s="1"/>
  <c r="P48" i="67" s="1"/>
  <c r="AT49" i="1"/>
  <c r="AF54" i="1"/>
  <c r="AT28" i="1"/>
  <c r="L27" i="67"/>
  <c r="O27" i="67" s="1"/>
  <c r="P27" i="67" s="1"/>
  <c r="AT22" i="1"/>
  <c r="L21" i="67"/>
  <c r="O21" i="67" s="1"/>
  <c r="P21" i="67" s="1"/>
  <c r="AT30" i="1"/>
  <c r="L29" i="67"/>
  <c r="O29" i="67" s="1"/>
  <c r="P29" i="67" s="1"/>
  <c r="AF50" i="1"/>
  <c r="AT71" i="1"/>
  <c r="L70" i="67"/>
  <c r="O70" i="67" s="1"/>
  <c r="P70" i="67" s="1"/>
  <c r="AF43" i="1"/>
  <c r="L31" i="67"/>
  <c r="O31" i="67" s="1"/>
  <c r="P31" i="67" s="1"/>
  <c r="AT32" i="1"/>
  <c r="AG27" i="1"/>
  <c r="AF39" i="1"/>
  <c r="AG33" i="1"/>
  <c r="L24" i="67"/>
  <c r="O24" i="67" s="1"/>
  <c r="P24" i="67" s="1"/>
  <c r="AT25" i="1"/>
  <c r="V22" i="100"/>
  <c r="W22" i="100" s="1"/>
  <c r="R23" i="67"/>
  <c r="S23" i="67" s="1"/>
  <c r="W22" i="72" s="1"/>
  <c r="I68" i="80"/>
  <c r="S71" i="33" s="1"/>
  <c r="U16" i="1"/>
  <c r="X16" i="1"/>
  <c r="Z16" i="1"/>
  <c r="W16" i="1"/>
  <c r="AA16" i="1"/>
  <c r="AA77" i="1" s="1"/>
  <c r="T77" i="1"/>
  <c r="E25" i="81"/>
  <c r="R79" i="1"/>
  <c r="U79" i="1" s="1"/>
  <c r="I10" i="137"/>
  <c r="C22" i="33"/>
  <c r="AP23" i="1"/>
  <c r="BA23" i="1"/>
  <c r="AW23" i="1"/>
  <c r="D22" i="116"/>
  <c r="E22" i="116" s="1"/>
  <c r="H22" i="116" s="1"/>
  <c r="D22" i="115"/>
  <c r="E22" i="115" s="1"/>
  <c r="H22" i="115" s="1"/>
  <c r="D19" i="76"/>
  <c r="E19" i="76" s="1"/>
  <c r="H19" i="76" s="1"/>
  <c r="D22" i="128"/>
  <c r="E22" i="128" s="1"/>
  <c r="H22" i="128" s="1"/>
  <c r="I22" i="128" s="1"/>
  <c r="J22" i="128" s="1"/>
  <c r="L22" i="128" s="1"/>
  <c r="D22" i="127"/>
  <c r="E22" i="127" s="1"/>
  <c r="H22" i="127" s="1"/>
  <c r="I22" i="127" s="1"/>
  <c r="J22" i="127" s="1"/>
  <c r="L22" i="127" s="1"/>
  <c r="D22" i="113"/>
  <c r="E22" i="113" s="1"/>
  <c r="H22" i="113" s="1"/>
  <c r="D22" i="117"/>
  <c r="E22" i="117" s="1"/>
  <c r="H22" i="117" s="1"/>
  <c r="D22" i="120"/>
  <c r="E22" i="120" s="1"/>
  <c r="H22" i="120" s="1"/>
  <c r="D22" i="119"/>
  <c r="E22" i="119" s="1"/>
  <c r="H22" i="119" s="1"/>
  <c r="D22" i="118"/>
  <c r="E22" i="118" s="1"/>
  <c r="H22" i="118" s="1"/>
  <c r="D22" i="126"/>
  <c r="E22" i="126" s="1"/>
  <c r="H22" i="126" s="1"/>
  <c r="I22" i="126" s="1"/>
  <c r="J22" i="126" s="1"/>
  <c r="L22" i="126" s="1"/>
  <c r="D19" i="80"/>
  <c r="E19" i="80" s="1"/>
  <c r="H19" i="80" s="1"/>
  <c r="D22" i="125"/>
  <c r="E22" i="125" s="1"/>
  <c r="H22" i="125" s="1"/>
  <c r="I22" i="125" s="1"/>
  <c r="J22" i="125" s="1"/>
  <c r="L22" i="125" s="1"/>
  <c r="D22" i="114"/>
  <c r="E22" i="114" s="1"/>
  <c r="H22" i="114" s="1"/>
  <c r="D22" i="129"/>
  <c r="E22" i="129" s="1"/>
  <c r="H22" i="129" s="1"/>
  <c r="I22" i="129" s="1"/>
  <c r="J22" i="129" s="1"/>
  <c r="L22" i="129" s="1"/>
  <c r="D22" i="131"/>
  <c r="E22" i="131" s="1"/>
  <c r="H22" i="131" s="1"/>
  <c r="I22" i="131" s="1"/>
  <c r="J22" i="131" s="1"/>
  <c r="L22" i="131" s="1"/>
  <c r="W61" i="100"/>
  <c r="I63" i="118"/>
  <c r="J63" i="118" s="1"/>
  <c r="L63" i="118" s="1"/>
  <c r="O63" i="33"/>
  <c r="D61" i="120"/>
  <c r="E61" i="120" s="1"/>
  <c r="H61" i="120" s="1"/>
  <c r="D61" i="117"/>
  <c r="E61" i="117" s="1"/>
  <c r="H61" i="117" s="1"/>
  <c r="D61" i="119"/>
  <c r="E61" i="119" s="1"/>
  <c r="H61" i="119" s="1"/>
  <c r="D61" i="113"/>
  <c r="E61" i="113" s="1"/>
  <c r="H61" i="113" s="1"/>
  <c r="D61" i="114"/>
  <c r="E61" i="114" s="1"/>
  <c r="H61" i="114" s="1"/>
  <c r="D61" i="115"/>
  <c r="E61" i="115" s="1"/>
  <c r="H61" i="115" s="1"/>
  <c r="D61" i="128"/>
  <c r="E61" i="128" s="1"/>
  <c r="H61" i="128" s="1"/>
  <c r="I61" i="128" s="1"/>
  <c r="J61" i="128" s="1"/>
  <c r="L61" i="128" s="1"/>
  <c r="D61" i="116"/>
  <c r="E61" i="116" s="1"/>
  <c r="H61" i="116" s="1"/>
  <c r="D61" i="125"/>
  <c r="E61" i="125" s="1"/>
  <c r="H61" i="125" s="1"/>
  <c r="I61" i="125" s="1"/>
  <c r="J61" i="125" s="1"/>
  <c r="L61" i="125" s="1"/>
  <c r="D61" i="129"/>
  <c r="E61" i="129" s="1"/>
  <c r="H61" i="129" s="1"/>
  <c r="I61" i="129" s="1"/>
  <c r="J61" i="129" s="1"/>
  <c r="L61" i="129" s="1"/>
  <c r="D61" i="131"/>
  <c r="E61" i="131" s="1"/>
  <c r="H61" i="131" s="1"/>
  <c r="I61" i="131" s="1"/>
  <c r="J61" i="131" s="1"/>
  <c r="L61" i="131" s="1"/>
  <c r="D61" i="127"/>
  <c r="E61" i="127" s="1"/>
  <c r="H61" i="127" s="1"/>
  <c r="I61" i="127" s="1"/>
  <c r="J61" i="127" s="1"/>
  <c r="L61" i="127" s="1"/>
  <c r="D58" i="76"/>
  <c r="E58" i="76" s="1"/>
  <c r="H58" i="76" s="1"/>
  <c r="D58" i="80"/>
  <c r="E58" i="80" s="1"/>
  <c r="H58" i="80" s="1"/>
  <c r="D61" i="126"/>
  <c r="E61" i="126" s="1"/>
  <c r="H61" i="126" s="1"/>
  <c r="I61" i="126" s="1"/>
  <c r="J61" i="126" s="1"/>
  <c r="L61" i="126" s="1"/>
  <c r="D61" i="118"/>
  <c r="E61" i="118" s="1"/>
  <c r="H61" i="118" s="1"/>
  <c r="D12" i="128"/>
  <c r="E12" i="128" s="1"/>
  <c r="H12" i="128" s="1"/>
  <c r="I12" i="128" s="1"/>
  <c r="J12" i="128" s="1"/>
  <c r="L12" i="128" s="1"/>
  <c r="D12" i="125"/>
  <c r="E12" i="125" s="1"/>
  <c r="H12" i="125" s="1"/>
  <c r="I12" i="125" s="1"/>
  <c r="J12" i="125" s="1"/>
  <c r="L12" i="125" s="1"/>
  <c r="D12" i="131"/>
  <c r="E12" i="131" s="1"/>
  <c r="H12" i="131" s="1"/>
  <c r="I12" i="131" s="1"/>
  <c r="J12" i="131" s="1"/>
  <c r="L12" i="131" s="1"/>
  <c r="D12" i="119"/>
  <c r="E12" i="119" s="1"/>
  <c r="H12" i="119" s="1"/>
  <c r="D12" i="127"/>
  <c r="E12" i="127" s="1"/>
  <c r="H12" i="127" s="1"/>
  <c r="I12" i="127" s="1"/>
  <c r="J12" i="127" s="1"/>
  <c r="L12" i="127" s="1"/>
  <c r="D9" i="80"/>
  <c r="E9" i="80" s="1"/>
  <c r="H9" i="80" s="1"/>
  <c r="J9" i="80" s="1"/>
  <c r="K9" i="80" s="1"/>
  <c r="M9" i="80" s="1"/>
  <c r="D12" i="113"/>
  <c r="E12" i="113" s="1"/>
  <c r="H12" i="113" s="1"/>
  <c r="D12" i="120"/>
  <c r="E12" i="120" s="1"/>
  <c r="H12" i="120" s="1"/>
  <c r="D12" i="118"/>
  <c r="E12" i="118" s="1"/>
  <c r="H12" i="118" s="1"/>
  <c r="D9" i="76"/>
  <c r="E9" i="76" s="1"/>
  <c r="H9" i="76" s="1"/>
  <c r="J9" i="76" s="1"/>
  <c r="K9" i="76" s="1"/>
  <c r="M9" i="76" s="1"/>
  <c r="D12" i="117"/>
  <c r="E12" i="117" s="1"/>
  <c r="H12" i="117" s="1"/>
  <c r="D12" i="126"/>
  <c r="E12" i="126" s="1"/>
  <c r="H12" i="126" s="1"/>
  <c r="I12" i="126" s="1"/>
  <c r="J12" i="126" s="1"/>
  <c r="L12" i="126" s="1"/>
  <c r="D12" i="114"/>
  <c r="E12" i="114" s="1"/>
  <c r="H12" i="114" s="1"/>
  <c r="D12" i="115"/>
  <c r="E12" i="115" s="1"/>
  <c r="H12" i="115" s="1"/>
  <c r="D12" i="116"/>
  <c r="E12" i="116" s="1"/>
  <c r="H12" i="116" s="1"/>
  <c r="D12" i="129"/>
  <c r="E12" i="129" s="1"/>
  <c r="H12" i="129" s="1"/>
  <c r="I12" i="129" s="1"/>
  <c r="J12" i="129" s="1"/>
  <c r="L12" i="129" s="1"/>
  <c r="U63" i="131"/>
  <c r="D42" i="80"/>
  <c r="D45" i="114"/>
  <c r="E45" i="114" s="1"/>
  <c r="H45" i="114" s="1"/>
  <c r="D45" i="120"/>
  <c r="E45" i="120" s="1"/>
  <c r="H45" i="120" s="1"/>
  <c r="D45" i="119"/>
  <c r="E45" i="119" s="1"/>
  <c r="H45" i="119" s="1"/>
  <c r="D45" i="128"/>
  <c r="E45" i="128" s="1"/>
  <c r="H45" i="128" s="1"/>
  <c r="I45" i="128" s="1"/>
  <c r="J45" i="128" s="1"/>
  <c r="L45" i="128" s="1"/>
  <c r="U45" i="128" s="1"/>
  <c r="D21" i="46"/>
  <c r="E21" i="46" s="1"/>
  <c r="D45" i="117"/>
  <c r="E45" i="117" s="1"/>
  <c r="H45" i="117" s="1"/>
  <c r="D45" i="118"/>
  <c r="E45" i="118" s="1"/>
  <c r="H45" i="118" s="1"/>
  <c r="D45" i="116"/>
  <c r="E45" i="116" s="1"/>
  <c r="H45" i="116" s="1"/>
  <c r="D45" i="125"/>
  <c r="E45" i="125" s="1"/>
  <c r="H45" i="125" s="1"/>
  <c r="I45" i="125" s="1"/>
  <c r="J45" i="125" s="1"/>
  <c r="L45" i="125" s="1"/>
  <c r="M45" i="125" s="1"/>
  <c r="V45" i="125" s="1"/>
  <c r="D45" i="131"/>
  <c r="E45" i="131" s="1"/>
  <c r="H45" i="131" s="1"/>
  <c r="D42" i="76"/>
  <c r="D23" i="46"/>
  <c r="E23" i="46" s="1"/>
  <c r="H23" i="46" s="1"/>
  <c r="D45" i="113"/>
  <c r="E45" i="113" s="1"/>
  <c r="H45" i="113" s="1"/>
  <c r="D45" i="126"/>
  <c r="E45" i="126" s="1"/>
  <c r="H45" i="126" s="1"/>
  <c r="I45" i="126" s="1"/>
  <c r="J45" i="126" s="1"/>
  <c r="L45" i="126" s="1"/>
  <c r="D45" i="115"/>
  <c r="E45" i="115" s="1"/>
  <c r="H45" i="115" s="1"/>
  <c r="D45" i="127"/>
  <c r="E45" i="127" s="1"/>
  <c r="H45" i="127" s="1"/>
  <c r="I45" i="127" s="1"/>
  <c r="J45" i="127" s="1"/>
  <c r="L45" i="127" s="1"/>
  <c r="D45" i="129"/>
  <c r="E45" i="129" s="1"/>
  <c r="H45" i="129" s="1"/>
  <c r="I45" i="129" s="1"/>
  <c r="J45" i="129" s="1"/>
  <c r="L45" i="129" s="1"/>
  <c r="U45" i="129" s="1"/>
  <c r="D71" i="76"/>
  <c r="E71" i="76" s="1"/>
  <c r="H71" i="76" s="1"/>
  <c r="D74" i="118"/>
  <c r="E74" i="118" s="1"/>
  <c r="H74" i="118" s="1"/>
  <c r="D74" i="119"/>
  <c r="E74" i="119" s="1"/>
  <c r="H74" i="119" s="1"/>
  <c r="D74" i="117"/>
  <c r="E74" i="117" s="1"/>
  <c r="H74" i="117" s="1"/>
  <c r="D74" i="120"/>
  <c r="E74" i="120" s="1"/>
  <c r="H74" i="120" s="1"/>
  <c r="D71" i="80"/>
  <c r="E71" i="80" s="1"/>
  <c r="H71" i="80" s="1"/>
  <c r="J71" i="80" s="1"/>
  <c r="K71" i="80" s="1"/>
  <c r="M71" i="80" s="1"/>
  <c r="D74" i="115"/>
  <c r="E74" i="115" s="1"/>
  <c r="H74" i="115" s="1"/>
  <c r="D74" i="128"/>
  <c r="E74" i="128" s="1"/>
  <c r="H74" i="128" s="1"/>
  <c r="I74" i="128" s="1"/>
  <c r="J74" i="128" s="1"/>
  <c r="L74" i="128" s="1"/>
  <c r="D74" i="114"/>
  <c r="E74" i="114" s="1"/>
  <c r="H74" i="114" s="1"/>
  <c r="D74" i="126"/>
  <c r="E74" i="126" s="1"/>
  <c r="H74" i="126" s="1"/>
  <c r="I74" i="126" s="1"/>
  <c r="J74" i="126" s="1"/>
  <c r="L74" i="126" s="1"/>
  <c r="D74" i="127"/>
  <c r="E74" i="127" s="1"/>
  <c r="H74" i="127" s="1"/>
  <c r="D74" i="125"/>
  <c r="E74" i="125" s="1"/>
  <c r="H74" i="125" s="1"/>
  <c r="I74" i="125" s="1"/>
  <c r="J74" i="125" s="1"/>
  <c r="L74" i="125" s="1"/>
  <c r="D74" i="129"/>
  <c r="E74" i="129" s="1"/>
  <c r="H74" i="129" s="1"/>
  <c r="I74" i="129" s="1"/>
  <c r="J74" i="129" s="1"/>
  <c r="L74" i="129" s="1"/>
  <c r="D74" i="113"/>
  <c r="E74" i="113" s="1"/>
  <c r="H74" i="113" s="1"/>
  <c r="D74" i="116"/>
  <c r="E74" i="116" s="1"/>
  <c r="H74" i="116" s="1"/>
  <c r="D74" i="131"/>
  <c r="E74" i="131" s="1"/>
  <c r="H74" i="131" s="1"/>
  <c r="I74" i="131" s="1"/>
  <c r="J74" i="131" s="1"/>
  <c r="L74" i="131" s="1"/>
  <c r="D63" i="67"/>
  <c r="E63" i="67" s="1"/>
  <c r="F63" i="67" s="1"/>
  <c r="G63" i="67" s="1"/>
  <c r="AC63" i="33"/>
  <c r="AP46" i="1"/>
  <c r="AW46" i="1"/>
  <c r="C45" i="33"/>
  <c r="BA46" i="1"/>
  <c r="AP62" i="1"/>
  <c r="C61" i="33"/>
  <c r="AW62" i="1"/>
  <c r="AQ62" i="1" s="1"/>
  <c r="BA62" i="1"/>
  <c r="BA13" i="1"/>
  <c r="C12" i="33"/>
  <c r="AP13" i="1"/>
  <c r="AW13" i="1"/>
  <c r="AQ13" i="1" s="1"/>
  <c r="U46" i="113"/>
  <c r="V46" i="113"/>
  <c r="U46" i="127"/>
  <c r="M46" i="127"/>
  <c r="V46" i="127" s="1"/>
  <c r="M46" i="120"/>
  <c r="V46" i="120" s="1"/>
  <c r="U46" i="120"/>
  <c r="U46" i="116"/>
  <c r="M46" i="116"/>
  <c r="V46" i="116" s="1"/>
  <c r="J71" i="33"/>
  <c r="I71" i="113"/>
  <c r="J71" i="113" s="1"/>
  <c r="L71" i="113" s="1"/>
  <c r="M71" i="113" s="1"/>
  <c r="I71" i="127"/>
  <c r="J71" i="127" s="1"/>
  <c r="L71" i="127" s="1"/>
  <c r="I59" i="118"/>
  <c r="J59" i="118" s="1"/>
  <c r="L59" i="118" s="1"/>
  <c r="O59" i="33"/>
  <c r="M46" i="118"/>
  <c r="V46" i="118" s="1"/>
  <c r="U46" i="118"/>
  <c r="M46" i="114"/>
  <c r="V46" i="114" s="1"/>
  <c r="U46" i="114"/>
  <c r="I68" i="76"/>
  <c r="R71" i="33" s="1"/>
  <c r="I71" i="128"/>
  <c r="J71" i="128" s="1"/>
  <c r="L71" i="128" s="1"/>
  <c r="I71" i="119"/>
  <c r="J71" i="119" s="1"/>
  <c r="L71" i="119" s="1"/>
  <c r="P71" i="33"/>
  <c r="D71" i="67"/>
  <c r="E71" i="67" s="1"/>
  <c r="F71" i="67" s="1"/>
  <c r="G71" i="67" s="1"/>
  <c r="AC71" i="33"/>
  <c r="N71" i="33"/>
  <c r="I71" i="117"/>
  <c r="J71" i="117" s="1"/>
  <c r="L71" i="117" s="1"/>
  <c r="I34" i="119"/>
  <c r="J34" i="119" s="1"/>
  <c r="L34" i="119" s="1"/>
  <c r="I34" i="131"/>
  <c r="J34" i="131" s="1"/>
  <c r="L34" i="131" s="1"/>
  <c r="V43" i="80"/>
  <c r="N43" i="80"/>
  <c r="W43" i="80" s="1"/>
  <c r="U46" i="126"/>
  <c r="M46" i="126"/>
  <c r="V46" i="126" s="1"/>
  <c r="M46" i="128"/>
  <c r="V46" i="128" s="1"/>
  <c r="U46" i="128"/>
  <c r="W70" i="100"/>
  <c r="I71" i="116"/>
  <c r="J71" i="116" s="1"/>
  <c r="L71" i="116" s="1"/>
  <c r="M71" i="33"/>
  <c r="J68" i="76"/>
  <c r="K68" i="76" s="1"/>
  <c r="M68" i="76" s="1"/>
  <c r="I71" i="118"/>
  <c r="J71" i="118" s="1"/>
  <c r="L71" i="118" s="1"/>
  <c r="O71" i="33"/>
  <c r="I71" i="115"/>
  <c r="J71" i="115" s="1"/>
  <c r="L71" i="115" s="1"/>
  <c r="L71" i="33"/>
  <c r="I59" i="127"/>
  <c r="J59" i="127" s="1"/>
  <c r="L59" i="127" s="1"/>
  <c r="K59" i="33"/>
  <c r="I34" i="127"/>
  <c r="J34" i="127" s="1"/>
  <c r="L34" i="127" s="1"/>
  <c r="AQ72" i="1"/>
  <c r="AX72" i="1"/>
  <c r="AV72" i="1"/>
  <c r="U46" i="131"/>
  <c r="M46" i="131"/>
  <c r="V46" i="131" s="1"/>
  <c r="I71" i="131"/>
  <c r="J71" i="131" s="1"/>
  <c r="L71" i="131" s="1"/>
  <c r="I71" i="129"/>
  <c r="J71" i="129" s="1"/>
  <c r="L71" i="129" s="1"/>
  <c r="O34" i="33"/>
  <c r="I34" i="126"/>
  <c r="J34" i="126" s="1"/>
  <c r="L34" i="126" s="1"/>
  <c r="D59" i="67"/>
  <c r="E59" i="67" s="1"/>
  <c r="F59" i="67" s="1"/>
  <c r="G59" i="67" s="1"/>
  <c r="AC59" i="33"/>
  <c r="I71" i="114"/>
  <c r="J71" i="114" s="1"/>
  <c r="L71" i="114" s="1"/>
  <c r="K71" i="33"/>
  <c r="I71" i="120"/>
  <c r="J71" i="120" s="1"/>
  <c r="L71" i="120" s="1"/>
  <c r="Q71" i="33"/>
  <c r="I71" i="125"/>
  <c r="J71" i="125" s="1"/>
  <c r="L71" i="125" s="1"/>
  <c r="I71" i="126"/>
  <c r="J71" i="126" s="1"/>
  <c r="L71" i="126" s="1"/>
  <c r="J68" i="80"/>
  <c r="K68" i="80" s="1"/>
  <c r="M68" i="80" s="1"/>
  <c r="N43" i="76"/>
  <c r="W43" i="76" s="1"/>
  <c r="V43" i="76"/>
  <c r="J59" i="33"/>
  <c r="I59" i="129"/>
  <c r="J59" i="129" s="1"/>
  <c r="L59" i="129" s="1"/>
  <c r="U34" i="125"/>
  <c r="W33" i="100"/>
  <c r="L7" i="67"/>
  <c r="AT8" i="1"/>
  <c r="AE8" i="1"/>
  <c r="U34" i="129" l="1"/>
  <c r="V56" i="80"/>
  <c r="M59" i="126"/>
  <c r="V59" i="126" s="1"/>
  <c r="I31" i="80"/>
  <c r="S34" i="33" s="1"/>
  <c r="N63" i="33"/>
  <c r="AK24" i="1"/>
  <c r="AL24" i="1" s="1"/>
  <c r="K34" i="33"/>
  <c r="L34" i="33"/>
  <c r="AO24" i="1"/>
  <c r="BA24" i="1" s="1"/>
  <c r="M59" i="33"/>
  <c r="U59" i="128"/>
  <c r="I63" i="113"/>
  <c r="J63" i="113" s="1"/>
  <c r="L63" i="113" s="1"/>
  <c r="I63" i="120"/>
  <c r="J63" i="120" s="1"/>
  <c r="L63" i="120" s="1"/>
  <c r="M63" i="120" s="1"/>
  <c r="V63" i="120" s="1"/>
  <c r="I59" i="119"/>
  <c r="J59" i="119" s="1"/>
  <c r="L59" i="119" s="1"/>
  <c r="M59" i="119" s="1"/>
  <c r="V59" i="119" s="1"/>
  <c r="N59" i="33"/>
  <c r="I34" i="117"/>
  <c r="J34" i="117" s="1"/>
  <c r="L34" i="117" s="1"/>
  <c r="O34" i="117" s="1"/>
  <c r="W34" i="117" s="1"/>
  <c r="K63" i="33"/>
  <c r="I56" i="80"/>
  <c r="S59" i="33" s="1"/>
  <c r="M63" i="125"/>
  <c r="V63" i="125" s="1"/>
  <c r="J34" i="33"/>
  <c r="I56" i="76"/>
  <c r="R59" i="33" s="1"/>
  <c r="Q59" i="33"/>
  <c r="L59" i="33"/>
  <c r="M58" i="115"/>
  <c r="V58" i="115" s="1"/>
  <c r="U63" i="126"/>
  <c r="M34" i="33"/>
  <c r="U59" i="131"/>
  <c r="M46" i="117"/>
  <c r="X46" i="117" s="1"/>
  <c r="BA75" i="1"/>
  <c r="I63" i="116"/>
  <c r="J63" i="116" s="1"/>
  <c r="L63" i="116" s="1"/>
  <c r="M63" i="116" s="1"/>
  <c r="V63" i="116" s="1"/>
  <c r="I60" i="76"/>
  <c r="R63" i="33" s="1"/>
  <c r="T63" i="33" s="1"/>
  <c r="U63" i="33" s="1"/>
  <c r="X63" i="33" s="1"/>
  <c r="AW75" i="1"/>
  <c r="AQ75" i="1" s="1"/>
  <c r="U63" i="128"/>
  <c r="C74" i="33"/>
  <c r="I60" i="80"/>
  <c r="S63" i="33" s="1"/>
  <c r="I34" i="120"/>
  <c r="J34" i="120" s="1"/>
  <c r="L34" i="120" s="1"/>
  <c r="M34" i="120" s="1"/>
  <c r="V34" i="120" s="1"/>
  <c r="BA35" i="1"/>
  <c r="U46" i="115"/>
  <c r="AC34" i="33"/>
  <c r="U34" i="128"/>
  <c r="AQ60" i="1"/>
  <c r="M63" i="129"/>
  <c r="V63" i="129" s="1"/>
  <c r="U63" i="127"/>
  <c r="I63" i="115"/>
  <c r="J63" i="115" s="1"/>
  <c r="L63" i="115" s="1"/>
  <c r="M63" i="115" s="1"/>
  <c r="V63" i="115" s="1"/>
  <c r="I63" i="119"/>
  <c r="J63" i="119" s="1"/>
  <c r="L63" i="119" s="1"/>
  <c r="U63" i="119" s="1"/>
  <c r="V60" i="80"/>
  <c r="I31" i="76"/>
  <c r="R34" i="33" s="1"/>
  <c r="AW35" i="1"/>
  <c r="AQ35" i="1" s="1"/>
  <c r="C34" i="33"/>
  <c r="U46" i="119"/>
  <c r="V24" i="100"/>
  <c r="W24" i="100" s="1"/>
  <c r="R25" i="67"/>
  <c r="S25" i="67" s="1"/>
  <c r="W24" i="72" s="1"/>
  <c r="AO26" i="1"/>
  <c r="AK26" i="1"/>
  <c r="AL26" i="1" s="1"/>
  <c r="AH26" i="1"/>
  <c r="AV64" i="1"/>
  <c r="M58" i="117"/>
  <c r="X58" i="117" s="1"/>
  <c r="I58" i="118"/>
  <c r="J58" i="118" s="1"/>
  <c r="L58" i="118" s="1"/>
  <c r="M58" i="118" s="1"/>
  <c r="V58" i="118" s="1"/>
  <c r="T46" i="33"/>
  <c r="U46" i="33" s="1"/>
  <c r="AK14" i="1"/>
  <c r="AL14" i="1" s="1"/>
  <c r="D13" i="115" s="1"/>
  <c r="E13" i="115" s="1"/>
  <c r="H13" i="115" s="1"/>
  <c r="AX64" i="1"/>
  <c r="N58" i="33"/>
  <c r="AX60" i="1"/>
  <c r="U58" i="125"/>
  <c r="T46" i="67"/>
  <c r="AC46" i="33"/>
  <c r="N55" i="80"/>
  <c r="W55" i="80" s="1"/>
  <c r="V35" i="100"/>
  <c r="W35" i="100" s="1"/>
  <c r="R36" i="67"/>
  <c r="S36" i="67" s="1"/>
  <c r="W35" i="72" s="1"/>
  <c r="AO37" i="1"/>
  <c r="AH37" i="1"/>
  <c r="AK37" i="1"/>
  <c r="AL37" i="1" s="1"/>
  <c r="BA63" i="1"/>
  <c r="C62" i="33"/>
  <c r="AW63" i="1"/>
  <c r="AP63" i="1"/>
  <c r="D42" i="129"/>
  <c r="E42" i="129" s="1"/>
  <c r="H42" i="129" s="1"/>
  <c r="I42" i="129" s="1"/>
  <c r="J42" i="129" s="1"/>
  <c r="L42" i="129" s="1"/>
  <c r="U42" i="129" s="1"/>
  <c r="M58" i="33"/>
  <c r="D62" i="118"/>
  <c r="E62" i="118" s="1"/>
  <c r="H62" i="118" s="1"/>
  <c r="D59" i="76"/>
  <c r="D59" i="80"/>
  <c r="D62" i="117"/>
  <c r="E62" i="117" s="1"/>
  <c r="H62" i="117" s="1"/>
  <c r="D62" i="115"/>
  <c r="E62" i="115" s="1"/>
  <c r="H62" i="115" s="1"/>
  <c r="D62" i="114"/>
  <c r="E62" i="114" s="1"/>
  <c r="H62" i="114" s="1"/>
  <c r="D62" i="116"/>
  <c r="E62" i="116" s="1"/>
  <c r="H62" i="116" s="1"/>
  <c r="D62" i="120"/>
  <c r="E62" i="120" s="1"/>
  <c r="H62" i="120" s="1"/>
  <c r="D62" i="125"/>
  <c r="E62" i="125" s="1"/>
  <c r="H62" i="125" s="1"/>
  <c r="I62" i="125" s="1"/>
  <c r="J62" i="125" s="1"/>
  <c r="L62" i="125" s="1"/>
  <c r="D62" i="126"/>
  <c r="E62" i="126" s="1"/>
  <c r="H62" i="126" s="1"/>
  <c r="I62" i="126" s="1"/>
  <c r="J62" i="126" s="1"/>
  <c r="L62" i="126" s="1"/>
  <c r="D62" i="129"/>
  <c r="E62" i="129" s="1"/>
  <c r="H62" i="129" s="1"/>
  <c r="I62" i="129" s="1"/>
  <c r="J62" i="129" s="1"/>
  <c r="L62" i="129" s="1"/>
  <c r="M62" i="129" s="1"/>
  <c r="V62" i="129" s="1"/>
  <c r="D62" i="127"/>
  <c r="E62" i="127" s="1"/>
  <c r="H62" i="127" s="1"/>
  <c r="I62" i="127" s="1"/>
  <c r="J62" i="127" s="1"/>
  <c r="L62" i="127" s="1"/>
  <c r="D62" i="128"/>
  <c r="E62" i="128" s="1"/>
  <c r="H62" i="128" s="1"/>
  <c r="I62" i="128" s="1"/>
  <c r="J62" i="128" s="1"/>
  <c r="L62" i="128" s="1"/>
  <c r="D76" i="114"/>
  <c r="E76" i="114" s="1"/>
  <c r="H76" i="114" s="1"/>
  <c r="I76" i="114" s="1"/>
  <c r="J76" i="114" s="1"/>
  <c r="L76" i="114" s="1"/>
  <c r="D62" i="131"/>
  <c r="E62" i="131" s="1"/>
  <c r="H62" i="131" s="1"/>
  <c r="I62" i="131" s="1"/>
  <c r="J62" i="131" s="1"/>
  <c r="L62" i="131" s="1"/>
  <c r="D62" i="119"/>
  <c r="E62" i="119" s="1"/>
  <c r="H62" i="119" s="1"/>
  <c r="D62" i="113"/>
  <c r="E62" i="113" s="1"/>
  <c r="H62" i="113" s="1"/>
  <c r="M58" i="114"/>
  <c r="V58" i="114" s="1"/>
  <c r="I58" i="113"/>
  <c r="J58" i="113" s="1"/>
  <c r="L58" i="113" s="1"/>
  <c r="I55" i="76"/>
  <c r="R58" i="33" s="1"/>
  <c r="M58" i="127"/>
  <c r="V58" i="127" s="1"/>
  <c r="D53" i="127"/>
  <c r="E53" i="127" s="1"/>
  <c r="H53" i="127" s="1"/>
  <c r="I53" i="127" s="1"/>
  <c r="J53" i="127" s="1"/>
  <c r="L53" i="127" s="1"/>
  <c r="U53" i="127" s="1"/>
  <c r="AO40" i="1"/>
  <c r="AP40" i="1" s="1"/>
  <c r="AK28" i="1"/>
  <c r="AL28" i="1" s="1"/>
  <c r="D27" i="119" s="1"/>
  <c r="E27" i="119" s="1"/>
  <c r="H27" i="119" s="1"/>
  <c r="U58" i="116"/>
  <c r="V55" i="76"/>
  <c r="D42" i="127"/>
  <c r="E42" i="127" s="1"/>
  <c r="H42" i="127" s="1"/>
  <c r="I42" i="127" s="1"/>
  <c r="J42" i="127" s="1"/>
  <c r="L42" i="127" s="1"/>
  <c r="M42" i="127" s="1"/>
  <c r="V42" i="127" s="1"/>
  <c r="I58" i="119"/>
  <c r="J58" i="119" s="1"/>
  <c r="L58" i="119" s="1"/>
  <c r="U58" i="119" s="1"/>
  <c r="D42" i="113"/>
  <c r="E42" i="113" s="1"/>
  <c r="H42" i="113" s="1"/>
  <c r="I42" i="113" s="1"/>
  <c r="J42" i="113" s="1"/>
  <c r="L42" i="113" s="1"/>
  <c r="M42" i="113" s="1"/>
  <c r="D42" i="117"/>
  <c r="E42" i="117" s="1"/>
  <c r="H42" i="117" s="1"/>
  <c r="N42" i="33" s="1"/>
  <c r="I55" i="80"/>
  <c r="S58" i="33" s="1"/>
  <c r="L58" i="33"/>
  <c r="D42" i="116"/>
  <c r="E42" i="116" s="1"/>
  <c r="H42" i="116" s="1"/>
  <c r="I42" i="116" s="1"/>
  <c r="J42" i="116" s="1"/>
  <c r="L42" i="116" s="1"/>
  <c r="D42" i="126"/>
  <c r="E42" i="126" s="1"/>
  <c r="H42" i="126" s="1"/>
  <c r="I42" i="126" s="1"/>
  <c r="J42" i="126" s="1"/>
  <c r="L42" i="126" s="1"/>
  <c r="M42" i="126" s="1"/>
  <c r="V42" i="126" s="1"/>
  <c r="D53" i="125"/>
  <c r="E53" i="125" s="1"/>
  <c r="H53" i="125" s="1"/>
  <c r="I53" i="125" s="1"/>
  <c r="J53" i="125" s="1"/>
  <c r="L53" i="125" s="1"/>
  <c r="M53" i="125" s="1"/>
  <c r="V53" i="125" s="1"/>
  <c r="M58" i="131"/>
  <c r="V58" i="131" s="1"/>
  <c r="D39" i="76"/>
  <c r="E39" i="76" s="1"/>
  <c r="H39" i="76" s="1"/>
  <c r="J39" i="76" s="1"/>
  <c r="K39" i="76" s="1"/>
  <c r="M39" i="76" s="1"/>
  <c r="D42" i="119"/>
  <c r="E42" i="119" s="1"/>
  <c r="H42" i="119" s="1"/>
  <c r="P42" i="33" s="1"/>
  <c r="D42" i="120"/>
  <c r="E42" i="120" s="1"/>
  <c r="H42" i="120" s="1"/>
  <c r="Q42" i="33" s="1"/>
  <c r="D42" i="118"/>
  <c r="E42" i="118" s="1"/>
  <c r="H42" i="118" s="1"/>
  <c r="O42" i="33" s="1"/>
  <c r="D53" i="120"/>
  <c r="E53" i="120" s="1"/>
  <c r="H53" i="120" s="1"/>
  <c r="I53" i="120" s="1"/>
  <c r="J53" i="120" s="1"/>
  <c r="L53" i="120" s="1"/>
  <c r="M53" i="120" s="1"/>
  <c r="V53" i="120" s="1"/>
  <c r="D53" i="118"/>
  <c r="E53" i="118" s="1"/>
  <c r="H53" i="118" s="1"/>
  <c r="O53" i="33" s="1"/>
  <c r="D53" i="115"/>
  <c r="E53" i="115" s="1"/>
  <c r="H53" i="115" s="1"/>
  <c r="L53" i="33" s="1"/>
  <c r="I58" i="120"/>
  <c r="J58" i="120" s="1"/>
  <c r="L58" i="120" s="1"/>
  <c r="U58" i="120" s="1"/>
  <c r="E12" i="137"/>
  <c r="H12" i="137" s="1"/>
  <c r="I12" i="137" s="1"/>
  <c r="J12" i="137" s="1"/>
  <c r="M12" i="137" s="1"/>
  <c r="N12" i="137" s="1"/>
  <c r="AK40" i="1"/>
  <c r="AL40" i="1" s="1"/>
  <c r="D39" i="116" s="1"/>
  <c r="E39" i="116" s="1"/>
  <c r="H39" i="116" s="1"/>
  <c r="AH57" i="1"/>
  <c r="AO57" i="1"/>
  <c r="AK57" i="1"/>
  <c r="AL57" i="1" s="1"/>
  <c r="R56" i="67"/>
  <c r="S56" i="67" s="1"/>
  <c r="W55" i="72" s="1"/>
  <c r="V55" i="100"/>
  <c r="W55" i="100" s="1"/>
  <c r="D39" i="80"/>
  <c r="E39" i="80" s="1"/>
  <c r="H39" i="80" s="1"/>
  <c r="J39" i="80" s="1"/>
  <c r="K39" i="80" s="1"/>
  <c r="M39" i="80" s="1"/>
  <c r="D42" i="131"/>
  <c r="E42" i="131" s="1"/>
  <c r="H42" i="131" s="1"/>
  <c r="I42" i="131" s="1"/>
  <c r="J42" i="131" s="1"/>
  <c r="L42" i="131" s="1"/>
  <c r="U42" i="131" s="1"/>
  <c r="D42" i="114"/>
  <c r="E42" i="114" s="1"/>
  <c r="H42" i="114" s="1"/>
  <c r="I42" i="114" s="1"/>
  <c r="J42" i="114" s="1"/>
  <c r="L42" i="114" s="1"/>
  <c r="D53" i="128"/>
  <c r="E53" i="128" s="1"/>
  <c r="H53" i="128" s="1"/>
  <c r="I53" i="128" s="1"/>
  <c r="J53" i="128" s="1"/>
  <c r="L53" i="128" s="1"/>
  <c r="M53" i="128" s="1"/>
  <c r="V53" i="128" s="1"/>
  <c r="AP43" i="1"/>
  <c r="D42" i="67" s="1"/>
  <c r="E42" i="67" s="1"/>
  <c r="F42" i="67" s="1"/>
  <c r="G42" i="67" s="1"/>
  <c r="D3" i="31"/>
  <c r="D16" i="31" s="1"/>
  <c r="E16" i="31" s="1"/>
  <c r="H16" i="31" s="1"/>
  <c r="J16" i="31" s="1"/>
  <c r="D42" i="125"/>
  <c r="E42" i="125" s="1"/>
  <c r="H42" i="125" s="1"/>
  <c r="I42" i="125" s="1"/>
  <c r="J42" i="125" s="1"/>
  <c r="L42" i="125" s="1"/>
  <c r="M42" i="125" s="1"/>
  <c r="V42" i="125" s="1"/>
  <c r="D42" i="115"/>
  <c r="E42" i="115" s="1"/>
  <c r="H42" i="115" s="1"/>
  <c r="L42" i="33" s="1"/>
  <c r="D42" i="128"/>
  <c r="E42" i="128" s="1"/>
  <c r="H42" i="128" s="1"/>
  <c r="I42" i="128" s="1"/>
  <c r="J42" i="128" s="1"/>
  <c r="L42" i="128" s="1"/>
  <c r="M42" i="128" s="1"/>
  <c r="V42" i="128" s="1"/>
  <c r="D53" i="114"/>
  <c r="E53" i="114" s="1"/>
  <c r="H53" i="114" s="1"/>
  <c r="I53" i="114" s="1"/>
  <c r="J53" i="114" s="1"/>
  <c r="L53" i="114" s="1"/>
  <c r="U53" i="114" s="1"/>
  <c r="D53" i="131"/>
  <c r="E53" i="131" s="1"/>
  <c r="H53" i="131" s="1"/>
  <c r="I53" i="131" s="1"/>
  <c r="J53" i="131" s="1"/>
  <c r="L53" i="131" s="1"/>
  <c r="U53" i="131" s="1"/>
  <c r="D50" i="76"/>
  <c r="E50" i="76" s="1"/>
  <c r="H50" i="76" s="1"/>
  <c r="J50" i="76" s="1"/>
  <c r="K50" i="76" s="1"/>
  <c r="M50" i="76" s="1"/>
  <c r="N50" i="76" s="1"/>
  <c r="W50" i="76" s="1"/>
  <c r="AO28" i="1"/>
  <c r="AW28" i="1" s="1"/>
  <c r="C42" i="33"/>
  <c r="M58" i="129"/>
  <c r="V58" i="129" s="1"/>
  <c r="M58" i="128"/>
  <c r="V58" i="128" s="1"/>
  <c r="D53" i="67"/>
  <c r="E53" i="67" s="1"/>
  <c r="F53" i="67" s="1"/>
  <c r="G53" i="67" s="1"/>
  <c r="J53" i="67" s="1"/>
  <c r="K53" i="67" s="1"/>
  <c r="AW43" i="1"/>
  <c r="AV43" i="1" s="1"/>
  <c r="R28" i="67"/>
  <c r="S28" i="67" s="1"/>
  <c r="W27" i="72" s="1"/>
  <c r="V27" i="100"/>
  <c r="W27" i="100" s="1"/>
  <c r="R72" i="67"/>
  <c r="S72" i="67" s="1"/>
  <c r="W71" i="72" s="1"/>
  <c r="V71" i="100"/>
  <c r="W71" i="100" s="1"/>
  <c r="AQ59" i="1"/>
  <c r="AX59" i="1"/>
  <c r="AV59" i="1"/>
  <c r="AK73" i="1"/>
  <c r="AL73" i="1" s="1"/>
  <c r="AO73" i="1"/>
  <c r="AH73" i="1"/>
  <c r="U58" i="126"/>
  <c r="AV54" i="1"/>
  <c r="AK15" i="1"/>
  <c r="AL15" i="1" s="1"/>
  <c r="D14" i="128" s="1"/>
  <c r="E14" i="128" s="1"/>
  <c r="H14" i="128" s="1"/>
  <c r="I14" i="128" s="1"/>
  <c r="J14" i="128" s="1"/>
  <c r="L14" i="128" s="1"/>
  <c r="AO29" i="1"/>
  <c r="AK29" i="1"/>
  <c r="AL29" i="1" s="1"/>
  <c r="AH29" i="1"/>
  <c r="D58" i="67"/>
  <c r="E58" i="67" s="1"/>
  <c r="F58" i="67" s="1"/>
  <c r="G58" i="67" s="1"/>
  <c r="AC58" i="33"/>
  <c r="AH31" i="1"/>
  <c r="AO31" i="1"/>
  <c r="AK31" i="1"/>
  <c r="AL31" i="1" s="1"/>
  <c r="G39" i="81"/>
  <c r="H39" i="81"/>
  <c r="AO45" i="1"/>
  <c r="AH45" i="1"/>
  <c r="AK45" i="1"/>
  <c r="AL45" i="1" s="1"/>
  <c r="R51" i="67"/>
  <c r="S51" i="67" s="1"/>
  <c r="W50" i="72" s="1"/>
  <c r="V50" i="100"/>
  <c r="W50" i="100" s="1"/>
  <c r="AX54" i="1"/>
  <c r="AO20" i="1"/>
  <c r="BA20" i="1" s="1"/>
  <c r="V43" i="100"/>
  <c r="W43" i="100" s="1"/>
  <c r="R44" i="67"/>
  <c r="S44" i="67" s="1"/>
  <c r="W43" i="72" s="1"/>
  <c r="AO15" i="1"/>
  <c r="BA15" i="1" s="1"/>
  <c r="AK20" i="1"/>
  <c r="AL20" i="1" s="1"/>
  <c r="D19" i="126" s="1"/>
  <c r="E19" i="126" s="1"/>
  <c r="H19" i="126" s="1"/>
  <c r="I19" i="126" s="1"/>
  <c r="J19" i="126" s="1"/>
  <c r="L19" i="126" s="1"/>
  <c r="R30" i="67"/>
  <c r="S30" i="67" s="1"/>
  <c r="W29" i="72" s="1"/>
  <c r="V29" i="100"/>
  <c r="W29" i="100" s="1"/>
  <c r="V19" i="100"/>
  <c r="W19" i="100" s="1"/>
  <c r="R20" i="67"/>
  <c r="S20" i="67" s="1"/>
  <c r="W19" i="72" s="1"/>
  <c r="R52" i="67"/>
  <c r="S52" i="67" s="1"/>
  <c r="W51" i="72" s="1"/>
  <c r="V51" i="100"/>
  <c r="W51" i="100" s="1"/>
  <c r="AK11" i="1"/>
  <c r="AL11" i="1" s="1"/>
  <c r="AH11" i="1"/>
  <c r="AO11" i="1"/>
  <c r="AO53" i="1"/>
  <c r="AH53" i="1"/>
  <c r="AK53" i="1"/>
  <c r="AL53" i="1" s="1"/>
  <c r="R10" i="67"/>
  <c r="S10" i="67" s="1"/>
  <c r="W9" i="72" s="1"/>
  <c r="V9" i="100"/>
  <c r="W9" i="100" s="1"/>
  <c r="AO52" i="1"/>
  <c r="AK52" i="1"/>
  <c r="AL52" i="1" s="1"/>
  <c r="AH52" i="1"/>
  <c r="AK21" i="1"/>
  <c r="AL21" i="1" s="1"/>
  <c r="AH21" i="1"/>
  <c r="AO21" i="1"/>
  <c r="R66" i="67"/>
  <c r="S66" i="67" s="1"/>
  <c r="W65" i="72" s="1"/>
  <c r="V65" i="100"/>
  <c r="W65" i="100" s="1"/>
  <c r="AO17" i="1"/>
  <c r="AH17" i="1"/>
  <c r="AK17" i="1"/>
  <c r="AL17" i="1" s="1"/>
  <c r="AO66" i="1"/>
  <c r="AK66" i="1"/>
  <c r="AL66" i="1" s="1"/>
  <c r="AH66" i="1"/>
  <c r="AO33" i="1"/>
  <c r="AK33" i="1"/>
  <c r="AL33" i="1" s="1"/>
  <c r="AH33" i="1"/>
  <c r="R40" i="67"/>
  <c r="S40" i="67" s="1"/>
  <c r="W39" i="72" s="1"/>
  <c r="V39" i="100"/>
  <c r="W39" i="100" s="1"/>
  <c r="AK12" i="1"/>
  <c r="AL12" i="1" s="1"/>
  <c r="AH12" i="1"/>
  <c r="AO12" i="1"/>
  <c r="AO42" i="1"/>
  <c r="AK42" i="1"/>
  <c r="AL42" i="1" s="1"/>
  <c r="AH42" i="1"/>
  <c r="C38" i="33"/>
  <c r="BA39" i="1"/>
  <c r="AP39" i="1"/>
  <c r="AW39" i="1"/>
  <c r="AW32" i="1"/>
  <c r="AP32" i="1"/>
  <c r="BA32" i="1"/>
  <c r="C31" i="33"/>
  <c r="V54" i="100"/>
  <c r="W54" i="100" s="1"/>
  <c r="R55" i="67"/>
  <c r="S55" i="67" s="1"/>
  <c r="W54" i="72" s="1"/>
  <c r="R69" i="67"/>
  <c r="S69" i="67" s="1"/>
  <c r="W68" i="72" s="1"/>
  <c r="V68" i="100"/>
  <c r="W68" i="100" s="1"/>
  <c r="V67" i="100"/>
  <c r="W67" i="100" s="1"/>
  <c r="R68" i="67"/>
  <c r="S68" i="67" s="1"/>
  <c r="W67" i="72" s="1"/>
  <c r="AO19" i="1"/>
  <c r="AK19" i="1"/>
  <c r="AL19" i="1" s="1"/>
  <c r="AH19" i="1"/>
  <c r="AO74" i="1"/>
  <c r="AK74" i="1"/>
  <c r="AL74" i="1" s="1"/>
  <c r="AH74" i="1"/>
  <c r="R13" i="67"/>
  <c r="S13" i="67" s="1"/>
  <c r="W12" i="72" s="1"/>
  <c r="V12" i="100"/>
  <c r="W12" i="100" s="1"/>
  <c r="AH49" i="1"/>
  <c r="AO49" i="1"/>
  <c r="AK49" i="1"/>
  <c r="AL49" i="1" s="1"/>
  <c r="R38" i="67"/>
  <c r="S38" i="67" s="1"/>
  <c r="W37" i="72" s="1"/>
  <c r="V37" i="100"/>
  <c r="W37" i="100" s="1"/>
  <c r="D64" i="120"/>
  <c r="E64" i="120" s="1"/>
  <c r="H64" i="120" s="1"/>
  <c r="D64" i="128"/>
  <c r="E64" i="128" s="1"/>
  <c r="H64" i="128" s="1"/>
  <c r="I64" i="128" s="1"/>
  <c r="J64" i="128" s="1"/>
  <c r="L64" i="128" s="1"/>
  <c r="D61" i="76"/>
  <c r="E61" i="76" s="1"/>
  <c r="H61" i="76" s="1"/>
  <c r="J61" i="76" s="1"/>
  <c r="K61" i="76" s="1"/>
  <c r="M61" i="76" s="1"/>
  <c r="V61" i="76" s="1"/>
  <c r="D64" i="131"/>
  <c r="E64" i="131" s="1"/>
  <c r="H64" i="131" s="1"/>
  <c r="I64" i="131" s="1"/>
  <c r="J64" i="131" s="1"/>
  <c r="L64" i="131" s="1"/>
  <c r="D64" i="129"/>
  <c r="E64" i="129" s="1"/>
  <c r="H64" i="129" s="1"/>
  <c r="I64" i="129" s="1"/>
  <c r="J64" i="129" s="1"/>
  <c r="L64" i="129" s="1"/>
  <c r="U64" i="129" s="1"/>
  <c r="D64" i="127"/>
  <c r="E64" i="127" s="1"/>
  <c r="H64" i="127" s="1"/>
  <c r="I64" i="127" s="1"/>
  <c r="J64" i="127" s="1"/>
  <c r="L64" i="127" s="1"/>
  <c r="D64" i="116"/>
  <c r="E64" i="116" s="1"/>
  <c r="H64" i="116" s="1"/>
  <c r="D64" i="126"/>
  <c r="E64" i="126" s="1"/>
  <c r="H64" i="126" s="1"/>
  <c r="I64" i="126" s="1"/>
  <c r="J64" i="126" s="1"/>
  <c r="L64" i="126" s="1"/>
  <c r="U64" i="126" s="1"/>
  <c r="D64" i="117"/>
  <c r="E64" i="117" s="1"/>
  <c r="H64" i="117" s="1"/>
  <c r="D64" i="114"/>
  <c r="E64" i="114" s="1"/>
  <c r="H64" i="114" s="1"/>
  <c r="D64" i="119"/>
  <c r="E64" i="119" s="1"/>
  <c r="H64" i="119" s="1"/>
  <c r="D61" i="80"/>
  <c r="D64" i="125"/>
  <c r="E64" i="125" s="1"/>
  <c r="H64" i="125" s="1"/>
  <c r="I64" i="125" s="1"/>
  <c r="J64" i="125" s="1"/>
  <c r="L64" i="125" s="1"/>
  <c r="M64" i="125" s="1"/>
  <c r="V64" i="125" s="1"/>
  <c r="D64" i="115"/>
  <c r="E64" i="115" s="1"/>
  <c r="H64" i="115" s="1"/>
  <c r="D64" i="113"/>
  <c r="E64" i="113" s="1"/>
  <c r="H64" i="113" s="1"/>
  <c r="D64" i="118"/>
  <c r="E64" i="118" s="1"/>
  <c r="H64" i="118" s="1"/>
  <c r="R29" i="67"/>
  <c r="S29" i="67" s="1"/>
  <c r="W28" i="72" s="1"/>
  <c r="V28" i="100"/>
  <c r="W28" i="100" s="1"/>
  <c r="R9" i="67"/>
  <c r="S9" i="67" s="1"/>
  <c r="W8" i="72" s="1"/>
  <c r="V8" i="100"/>
  <c r="W8" i="100" s="1"/>
  <c r="AK36" i="1"/>
  <c r="AL36" i="1" s="1"/>
  <c r="AH36" i="1"/>
  <c r="AO36" i="1"/>
  <c r="R32" i="67"/>
  <c r="S32" i="67" s="1"/>
  <c r="W31" i="72" s="1"/>
  <c r="V31" i="100"/>
  <c r="W31" i="100" s="1"/>
  <c r="AK10" i="1"/>
  <c r="AL10" i="1" s="1"/>
  <c r="AO10" i="1"/>
  <c r="AH10" i="1"/>
  <c r="R19" i="67"/>
  <c r="S19" i="67" s="1"/>
  <c r="W18" i="72" s="1"/>
  <c r="V18" i="100"/>
  <c r="W18" i="100" s="1"/>
  <c r="R39" i="67"/>
  <c r="S39" i="67" s="1"/>
  <c r="W38" i="72" s="1"/>
  <c r="V38" i="100"/>
  <c r="W38" i="100" s="1"/>
  <c r="D69" i="131"/>
  <c r="E69" i="131" s="1"/>
  <c r="H69" i="131" s="1"/>
  <c r="I69" i="131" s="1"/>
  <c r="J69" i="131" s="1"/>
  <c r="L69" i="131" s="1"/>
  <c r="M69" i="131" s="1"/>
  <c r="V69" i="131" s="1"/>
  <c r="D69" i="128"/>
  <c r="E69" i="128" s="1"/>
  <c r="H69" i="128" s="1"/>
  <c r="I69" i="128" s="1"/>
  <c r="J69" i="128" s="1"/>
  <c r="L69" i="128" s="1"/>
  <c r="U69" i="128" s="1"/>
  <c r="D69" i="127"/>
  <c r="E69" i="127" s="1"/>
  <c r="H69" i="127" s="1"/>
  <c r="I69" i="127" s="1"/>
  <c r="J69" i="127" s="1"/>
  <c r="L69" i="127" s="1"/>
  <c r="U69" i="127" s="1"/>
  <c r="D69" i="117"/>
  <c r="E69" i="117" s="1"/>
  <c r="H69" i="117" s="1"/>
  <c r="D66" i="80"/>
  <c r="D69" i="116"/>
  <c r="E69" i="116" s="1"/>
  <c r="H69" i="116" s="1"/>
  <c r="D69" i="120"/>
  <c r="E69" i="120" s="1"/>
  <c r="H69" i="120" s="1"/>
  <c r="D69" i="119"/>
  <c r="E69" i="119" s="1"/>
  <c r="H69" i="119" s="1"/>
  <c r="D69" i="125"/>
  <c r="E69" i="125" s="1"/>
  <c r="H69" i="125" s="1"/>
  <c r="I69" i="125" s="1"/>
  <c r="J69" i="125" s="1"/>
  <c r="L69" i="125" s="1"/>
  <c r="D69" i="115"/>
  <c r="E69" i="115" s="1"/>
  <c r="H69" i="115" s="1"/>
  <c r="D69" i="129"/>
  <c r="E69" i="129" s="1"/>
  <c r="H69" i="129" s="1"/>
  <c r="I69" i="129" s="1"/>
  <c r="J69" i="129" s="1"/>
  <c r="L69" i="129" s="1"/>
  <c r="D66" i="76"/>
  <c r="D69" i="126"/>
  <c r="E69" i="126" s="1"/>
  <c r="H69" i="126" s="1"/>
  <c r="I69" i="126" s="1"/>
  <c r="J69" i="126" s="1"/>
  <c r="L69" i="126" s="1"/>
  <c r="D69" i="113"/>
  <c r="E69" i="113" s="1"/>
  <c r="H69" i="113" s="1"/>
  <c r="D69" i="118"/>
  <c r="E69" i="118" s="1"/>
  <c r="H69" i="118" s="1"/>
  <c r="D69" i="114"/>
  <c r="E69" i="114" s="1"/>
  <c r="H69" i="114" s="1"/>
  <c r="AK18" i="1"/>
  <c r="AL18" i="1" s="1"/>
  <c r="AH18" i="1"/>
  <c r="AO18" i="1"/>
  <c r="AO9" i="1"/>
  <c r="AK9" i="1"/>
  <c r="AL9" i="1" s="1"/>
  <c r="AH9" i="1"/>
  <c r="R43" i="67"/>
  <c r="S43" i="67" s="1"/>
  <c r="W42" i="72" s="1"/>
  <c r="V42" i="100"/>
  <c r="W42" i="100" s="1"/>
  <c r="D53" i="126"/>
  <c r="E53" i="126" s="1"/>
  <c r="H53" i="126" s="1"/>
  <c r="I53" i="126" s="1"/>
  <c r="J53" i="126" s="1"/>
  <c r="L53" i="126" s="1"/>
  <c r="U53" i="126" s="1"/>
  <c r="D53" i="129"/>
  <c r="E53" i="129" s="1"/>
  <c r="H53" i="129" s="1"/>
  <c r="I53" i="129" s="1"/>
  <c r="J53" i="129" s="1"/>
  <c r="L53" i="129" s="1"/>
  <c r="M53" i="129" s="1"/>
  <c r="V53" i="129" s="1"/>
  <c r="D53" i="113"/>
  <c r="E53" i="113" s="1"/>
  <c r="H53" i="113" s="1"/>
  <c r="D53" i="119"/>
  <c r="E53" i="119" s="1"/>
  <c r="H53" i="119" s="1"/>
  <c r="P53" i="33" s="1"/>
  <c r="R31" i="67"/>
  <c r="S31" i="67" s="1"/>
  <c r="W30" i="72" s="1"/>
  <c r="V30" i="100"/>
  <c r="W30" i="100" s="1"/>
  <c r="R48" i="67"/>
  <c r="S48" i="67" s="1"/>
  <c r="W47" i="72" s="1"/>
  <c r="V47" i="100"/>
  <c r="W47" i="100" s="1"/>
  <c r="AH69" i="1"/>
  <c r="AO69" i="1"/>
  <c r="AK69" i="1"/>
  <c r="AL69" i="1" s="1"/>
  <c r="R57" i="67"/>
  <c r="S57" i="67" s="1"/>
  <c r="W56" i="72" s="1"/>
  <c r="V56" i="100"/>
  <c r="W56" i="100" s="1"/>
  <c r="AO25" i="1"/>
  <c r="AH25" i="1"/>
  <c r="AK25" i="1"/>
  <c r="AL25" i="1" s="1"/>
  <c r="D49" i="115"/>
  <c r="E49" i="115" s="1"/>
  <c r="H49" i="115" s="1"/>
  <c r="D49" i="129"/>
  <c r="E49" i="129" s="1"/>
  <c r="H49" i="129" s="1"/>
  <c r="I49" i="129" s="1"/>
  <c r="J49" i="129" s="1"/>
  <c r="L49" i="129" s="1"/>
  <c r="U49" i="129" s="1"/>
  <c r="D49" i="118"/>
  <c r="E49" i="118" s="1"/>
  <c r="H49" i="118" s="1"/>
  <c r="D49" i="119"/>
  <c r="E49" i="119" s="1"/>
  <c r="H49" i="119" s="1"/>
  <c r="D49" i="128"/>
  <c r="E49" i="128" s="1"/>
  <c r="H49" i="128" s="1"/>
  <c r="I49" i="128" s="1"/>
  <c r="J49" i="128" s="1"/>
  <c r="L49" i="128" s="1"/>
  <c r="D46" i="80"/>
  <c r="D49" i="127"/>
  <c r="E49" i="127" s="1"/>
  <c r="H49" i="127" s="1"/>
  <c r="I49" i="127" s="1"/>
  <c r="J49" i="127" s="1"/>
  <c r="L49" i="127" s="1"/>
  <c r="D49" i="114"/>
  <c r="E49" i="114" s="1"/>
  <c r="H49" i="114" s="1"/>
  <c r="D46" i="76"/>
  <c r="D49" i="126"/>
  <c r="E49" i="126" s="1"/>
  <c r="H49" i="126" s="1"/>
  <c r="I49" i="126" s="1"/>
  <c r="J49" i="126" s="1"/>
  <c r="L49" i="126" s="1"/>
  <c r="M49" i="126" s="1"/>
  <c r="V49" i="126" s="1"/>
  <c r="D49" i="113"/>
  <c r="E49" i="113" s="1"/>
  <c r="H49" i="113" s="1"/>
  <c r="D49" i="125"/>
  <c r="E49" i="125" s="1"/>
  <c r="H49" i="125" s="1"/>
  <c r="I49" i="125" s="1"/>
  <c r="J49" i="125" s="1"/>
  <c r="L49" i="125" s="1"/>
  <c r="M49" i="125" s="1"/>
  <c r="V49" i="125" s="1"/>
  <c r="D49" i="131"/>
  <c r="E49" i="131" s="1"/>
  <c r="H49" i="131" s="1"/>
  <c r="I49" i="131" s="1"/>
  <c r="J49" i="131" s="1"/>
  <c r="L49" i="131" s="1"/>
  <c r="U49" i="131" s="1"/>
  <c r="D49" i="120"/>
  <c r="E49" i="120" s="1"/>
  <c r="H49" i="120" s="1"/>
  <c r="D49" i="117"/>
  <c r="E49" i="117" s="1"/>
  <c r="H49" i="117" s="1"/>
  <c r="D49" i="116"/>
  <c r="E49" i="116" s="1"/>
  <c r="H49" i="116" s="1"/>
  <c r="V72" i="100"/>
  <c r="W72" i="100" s="1"/>
  <c r="R73" i="67"/>
  <c r="S73" i="67" s="1"/>
  <c r="W72" i="72" s="1"/>
  <c r="D38" i="128"/>
  <c r="E38" i="128" s="1"/>
  <c r="H38" i="128" s="1"/>
  <c r="I38" i="128" s="1"/>
  <c r="J38" i="128" s="1"/>
  <c r="L38" i="128" s="1"/>
  <c r="U38" i="128" s="1"/>
  <c r="D35" i="76"/>
  <c r="D38" i="120"/>
  <c r="E38" i="120" s="1"/>
  <c r="H38" i="120" s="1"/>
  <c r="D38" i="117"/>
  <c r="E38" i="117" s="1"/>
  <c r="H38" i="117" s="1"/>
  <c r="D38" i="127"/>
  <c r="E38" i="127" s="1"/>
  <c r="H38" i="127" s="1"/>
  <c r="I38" i="127" s="1"/>
  <c r="J38" i="127" s="1"/>
  <c r="L38" i="127" s="1"/>
  <c r="D38" i="116"/>
  <c r="E38" i="116" s="1"/>
  <c r="H38" i="116" s="1"/>
  <c r="D38" i="129"/>
  <c r="E38" i="129" s="1"/>
  <c r="H38" i="129" s="1"/>
  <c r="I38" i="129" s="1"/>
  <c r="J38" i="129" s="1"/>
  <c r="L38" i="129" s="1"/>
  <c r="D38" i="118"/>
  <c r="E38" i="118" s="1"/>
  <c r="H38" i="118" s="1"/>
  <c r="D38" i="113"/>
  <c r="E38" i="113" s="1"/>
  <c r="H38" i="113" s="1"/>
  <c r="D38" i="115"/>
  <c r="E38" i="115" s="1"/>
  <c r="H38" i="115" s="1"/>
  <c r="D38" i="114"/>
  <c r="E38" i="114" s="1"/>
  <c r="H38" i="114" s="1"/>
  <c r="D38" i="126"/>
  <c r="E38" i="126" s="1"/>
  <c r="H38" i="126" s="1"/>
  <c r="I38" i="126" s="1"/>
  <c r="J38" i="126" s="1"/>
  <c r="L38" i="126" s="1"/>
  <c r="D38" i="119"/>
  <c r="E38" i="119" s="1"/>
  <c r="H38" i="119" s="1"/>
  <c r="D38" i="131"/>
  <c r="E38" i="131" s="1"/>
  <c r="H38" i="131" s="1"/>
  <c r="I38" i="131" s="1"/>
  <c r="J38" i="131" s="1"/>
  <c r="L38" i="131" s="1"/>
  <c r="D38" i="125"/>
  <c r="E38" i="125" s="1"/>
  <c r="H38" i="125" s="1"/>
  <c r="I38" i="125" s="1"/>
  <c r="J38" i="125" s="1"/>
  <c r="L38" i="125" s="1"/>
  <c r="D35" i="80"/>
  <c r="D55" i="127"/>
  <c r="E55" i="127" s="1"/>
  <c r="H55" i="127" s="1"/>
  <c r="I55" i="127" s="1"/>
  <c r="J55" i="127" s="1"/>
  <c r="L55" i="127" s="1"/>
  <c r="D55" i="113"/>
  <c r="E55" i="113" s="1"/>
  <c r="H55" i="113" s="1"/>
  <c r="D55" i="117"/>
  <c r="E55" i="117" s="1"/>
  <c r="H55" i="117" s="1"/>
  <c r="D55" i="116"/>
  <c r="E55" i="116" s="1"/>
  <c r="H55" i="116" s="1"/>
  <c r="D55" i="126"/>
  <c r="E55" i="126" s="1"/>
  <c r="H55" i="126" s="1"/>
  <c r="I55" i="126" s="1"/>
  <c r="J55" i="126" s="1"/>
  <c r="L55" i="126" s="1"/>
  <c r="D55" i="120"/>
  <c r="E55" i="120" s="1"/>
  <c r="H55" i="120" s="1"/>
  <c r="D55" i="125"/>
  <c r="E55" i="125" s="1"/>
  <c r="H55" i="125" s="1"/>
  <c r="I55" i="125" s="1"/>
  <c r="J55" i="125" s="1"/>
  <c r="L55" i="125" s="1"/>
  <c r="D55" i="131"/>
  <c r="E55" i="131" s="1"/>
  <c r="H55" i="131" s="1"/>
  <c r="I55" i="131" s="1"/>
  <c r="J55" i="131" s="1"/>
  <c r="L55" i="131" s="1"/>
  <c r="D55" i="115"/>
  <c r="E55" i="115" s="1"/>
  <c r="H55" i="115" s="1"/>
  <c r="D55" i="118"/>
  <c r="E55" i="118" s="1"/>
  <c r="H55" i="118" s="1"/>
  <c r="D52" i="80"/>
  <c r="E52" i="80" s="1"/>
  <c r="H52" i="80" s="1"/>
  <c r="J52" i="80" s="1"/>
  <c r="K52" i="80" s="1"/>
  <c r="M52" i="80" s="1"/>
  <c r="D55" i="129"/>
  <c r="E55" i="129" s="1"/>
  <c r="H55" i="129" s="1"/>
  <c r="I55" i="129" s="1"/>
  <c r="J55" i="129" s="1"/>
  <c r="L55" i="129" s="1"/>
  <c r="D52" i="76"/>
  <c r="E52" i="76" s="1"/>
  <c r="H52" i="76" s="1"/>
  <c r="D55" i="114"/>
  <c r="E55" i="114" s="1"/>
  <c r="H55" i="114" s="1"/>
  <c r="D55" i="119"/>
  <c r="E55" i="119" s="1"/>
  <c r="H55" i="119" s="1"/>
  <c r="D55" i="128"/>
  <c r="E55" i="128" s="1"/>
  <c r="H55" i="128" s="1"/>
  <c r="I55" i="128" s="1"/>
  <c r="J55" i="128" s="1"/>
  <c r="L55" i="128" s="1"/>
  <c r="I52" i="76"/>
  <c r="R42" i="67"/>
  <c r="S42" i="67" s="1"/>
  <c r="W41" i="72" s="1"/>
  <c r="V41" i="100"/>
  <c r="W41" i="100" s="1"/>
  <c r="R17" i="67"/>
  <c r="S17" i="67" s="1"/>
  <c r="W16" i="72" s="1"/>
  <c r="V16" i="100"/>
  <c r="W16" i="100" s="1"/>
  <c r="AK30" i="1"/>
  <c r="AL30" i="1" s="1"/>
  <c r="AH30" i="1"/>
  <c r="AO30" i="1"/>
  <c r="AO22" i="1"/>
  <c r="AK22" i="1"/>
  <c r="AL22" i="1" s="1"/>
  <c r="AH22" i="1"/>
  <c r="C64" i="33"/>
  <c r="AW65" i="1"/>
  <c r="BA65" i="1"/>
  <c r="AP65" i="1"/>
  <c r="AK67" i="1"/>
  <c r="AL67" i="1" s="1"/>
  <c r="AH67" i="1"/>
  <c r="AO67" i="1"/>
  <c r="V25" i="100"/>
  <c r="W25" i="100" s="1"/>
  <c r="R26" i="67"/>
  <c r="S26" i="67" s="1"/>
  <c r="W25" i="72" s="1"/>
  <c r="R33" i="67"/>
  <c r="S33" i="67" s="1"/>
  <c r="W32" i="72" s="1"/>
  <c r="V32" i="100"/>
  <c r="W32" i="100" s="1"/>
  <c r="R70" i="67"/>
  <c r="S70" i="67" s="1"/>
  <c r="W69" i="72" s="1"/>
  <c r="V69" i="100"/>
  <c r="W69" i="100" s="1"/>
  <c r="V26" i="100"/>
  <c r="W26" i="100" s="1"/>
  <c r="R27" i="67"/>
  <c r="S27" i="67" s="1"/>
  <c r="W26" i="72" s="1"/>
  <c r="R41" i="67"/>
  <c r="S41" i="67" s="1"/>
  <c r="W40" i="72" s="1"/>
  <c r="V40" i="100"/>
  <c r="W40" i="100" s="1"/>
  <c r="AO34" i="1"/>
  <c r="AH34" i="1"/>
  <c r="AK34" i="1"/>
  <c r="AL34" i="1" s="1"/>
  <c r="V15" i="100"/>
  <c r="W15" i="100" s="1"/>
  <c r="R16" i="67"/>
  <c r="S16" i="67" s="1"/>
  <c r="W15" i="72" s="1"/>
  <c r="D70" i="126"/>
  <c r="E70" i="126" s="1"/>
  <c r="H70" i="126" s="1"/>
  <c r="I70" i="126" s="1"/>
  <c r="J70" i="126" s="1"/>
  <c r="L70" i="126" s="1"/>
  <c r="U70" i="126" s="1"/>
  <c r="D70" i="125"/>
  <c r="E70" i="125" s="1"/>
  <c r="H70" i="125" s="1"/>
  <c r="I70" i="125" s="1"/>
  <c r="J70" i="125" s="1"/>
  <c r="L70" i="125" s="1"/>
  <c r="U70" i="125" s="1"/>
  <c r="D70" i="131"/>
  <c r="E70" i="131" s="1"/>
  <c r="H70" i="131" s="1"/>
  <c r="I70" i="131" s="1"/>
  <c r="J70" i="131" s="1"/>
  <c r="L70" i="131" s="1"/>
  <c r="M70" i="131" s="1"/>
  <c r="V70" i="131" s="1"/>
  <c r="D70" i="113"/>
  <c r="E70" i="113" s="1"/>
  <c r="H70" i="113" s="1"/>
  <c r="D70" i="118"/>
  <c r="E70" i="118" s="1"/>
  <c r="H70" i="118" s="1"/>
  <c r="D70" i="116"/>
  <c r="E70" i="116" s="1"/>
  <c r="H70" i="116" s="1"/>
  <c r="D67" i="80"/>
  <c r="E67" i="80" s="1"/>
  <c r="H67" i="80" s="1"/>
  <c r="J67" i="80" s="1"/>
  <c r="K67" i="80" s="1"/>
  <c r="M67" i="80" s="1"/>
  <c r="N67" i="80" s="1"/>
  <c r="W67" i="80" s="1"/>
  <c r="D70" i="128"/>
  <c r="E70" i="128" s="1"/>
  <c r="H70" i="128" s="1"/>
  <c r="I70" i="128" s="1"/>
  <c r="J70" i="128" s="1"/>
  <c r="L70" i="128" s="1"/>
  <c r="D70" i="114"/>
  <c r="E70" i="114" s="1"/>
  <c r="H70" i="114" s="1"/>
  <c r="D70" i="115"/>
  <c r="E70" i="115" s="1"/>
  <c r="H70" i="115" s="1"/>
  <c r="D70" i="119"/>
  <c r="E70" i="119" s="1"/>
  <c r="H70" i="119" s="1"/>
  <c r="D70" i="117"/>
  <c r="E70" i="117" s="1"/>
  <c r="H70" i="117" s="1"/>
  <c r="D70" i="127"/>
  <c r="E70" i="127" s="1"/>
  <c r="H70" i="127" s="1"/>
  <c r="I70" i="127" s="1"/>
  <c r="J70" i="127" s="1"/>
  <c r="L70" i="127" s="1"/>
  <c r="D67" i="76"/>
  <c r="D70" i="120"/>
  <c r="E70" i="120" s="1"/>
  <c r="H70" i="120" s="1"/>
  <c r="D70" i="129"/>
  <c r="E70" i="129" s="1"/>
  <c r="H70" i="129" s="1"/>
  <c r="I70" i="129" s="1"/>
  <c r="J70" i="129" s="1"/>
  <c r="L70" i="129" s="1"/>
  <c r="U70" i="129" s="1"/>
  <c r="V64" i="100"/>
  <c r="W64" i="100" s="1"/>
  <c r="R65" i="67"/>
  <c r="S65" i="67" s="1"/>
  <c r="W64" i="72" s="1"/>
  <c r="R35" i="67"/>
  <c r="S35" i="67" s="1"/>
  <c r="W34" i="72" s="1"/>
  <c r="V34" i="100"/>
  <c r="W34" i="100" s="1"/>
  <c r="AW56" i="1"/>
  <c r="AQ56" i="1" s="1"/>
  <c r="C55" i="33"/>
  <c r="BA56" i="1"/>
  <c r="AP56" i="1"/>
  <c r="AH58" i="1"/>
  <c r="AK58" i="1"/>
  <c r="AL58" i="1" s="1"/>
  <c r="AO58" i="1"/>
  <c r="D40" i="126"/>
  <c r="E40" i="126" s="1"/>
  <c r="H40" i="126" s="1"/>
  <c r="I40" i="126" s="1"/>
  <c r="J40" i="126" s="1"/>
  <c r="L40" i="126" s="1"/>
  <c r="M40" i="126" s="1"/>
  <c r="V40" i="126" s="1"/>
  <c r="D40" i="116"/>
  <c r="E40" i="116" s="1"/>
  <c r="H40" i="116" s="1"/>
  <c r="D40" i="125"/>
  <c r="E40" i="125" s="1"/>
  <c r="H40" i="125" s="1"/>
  <c r="I40" i="125" s="1"/>
  <c r="J40" i="125" s="1"/>
  <c r="L40" i="125" s="1"/>
  <c r="D40" i="128"/>
  <c r="E40" i="128" s="1"/>
  <c r="H40" i="128" s="1"/>
  <c r="I40" i="128" s="1"/>
  <c r="J40" i="128" s="1"/>
  <c r="L40" i="128" s="1"/>
  <c r="M40" i="128" s="1"/>
  <c r="V40" i="128" s="1"/>
  <c r="D40" i="127"/>
  <c r="E40" i="127" s="1"/>
  <c r="H40" i="127" s="1"/>
  <c r="I40" i="127" s="1"/>
  <c r="J40" i="127" s="1"/>
  <c r="L40" i="127" s="1"/>
  <c r="D37" i="76"/>
  <c r="E37" i="76" s="1"/>
  <c r="H37" i="76" s="1"/>
  <c r="J37" i="76" s="1"/>
  <c r="K37" i="76" s="1"/>
  <c r="M37" i="76" s="1"/>
  <c r="D40" i="118"/>
  <c r="E40" i="118" s="1"/>
  <c r="H40" i="118" s="1"/>
  <c r="D40" i="120"/>
  <c r="E40" i="120" s="1"/>
  <c r="H40" i="120" s="1"/>
  <c r="D40" i="129"/>
  <c r="E40" i="129" s="1"/>
  <c r="H40" i="129" s="1"/>
  <c r="I40" i="129" s="1"/>
  <c r="J40" i="129" s="1"/>
  <c r="L40" i="129" s="1"/>
  <c r="D40" i="114"/>
  <c r="E40" i="114" s="1"/>
  <c r="H40" i="114" s="1"/>
  <c r="D40" i="119"/>
  <c r="E40" i="119" s="1"/>
  <c r="H40" i="119" s="1"/>
  <c r="D40" i="113"/>
  <c r="E40" i="113" s="1"/>
  <c r="H40" i="113" s="1"/>
  <c r="D40" i="115"/>
  <c r="E40" i="115" s="1"/>
  <c r="H40" i="115" s="1"/>
  <c r="D37" i="80"/>
  <c r="E37" i="80" s="1"/>
  <c r="H37" i="80" s="1"/>
  <c r="J37" i="80" s="1"/>
  <c r="K37" i="80" s="1"/>
  <c r="M37" i="80" s="1"/>
  <c r="V37" i="80" s="1"/>
  <c r="D40" i="131"/>
  <c r="E40" i="131" s="1"/>
  <c r="H40" i="131" s="1"/>
  <c r="I40" i="131" s="1"/>
  <c r="J40" i="131" s="1"/>
  <c r="L40" i="131" s="1"/>
  <c r="D40" i="117"/>
  <c r="E40" i="117" s="1"/>
  <c r="H40" i="117" s="1"/>
  <c r="D53" i="117"/>
  <c r="E53" i="117" s="1"/>
  <c r="H53" i="117" s="1"/>
  <c r="I53" i="117" s="1"/>
  <c r="J53" i="117" s="1"/>
  <c r="L53" i="117" s="1"/>
  <c r="O53" i="117" s="1"/>
  <c r="W53" i="117" s="1"/>
  <c r="D53" i="116"/>
  <c r="E53" i="116" s="1"/>
  <c r="H53" i="116" s="1"/>
  <c r="M53" i="33" s="1"/>
  <c r="R24" i="67"/>
  <c r="S24" i="67" s="1"/>
  <c r="W23" i="72" s="1"/>
  <c r="V23" i="100"/>
  <c r="W23" i="100" s="1"/>
  <c r="AH27" i="1"/>
  <c r="AK27" i="1"/>
  <c r="AL27" i="1" s="1"/>
  <c r="AO27" i="1"/>
  <c r="V20" i="100"/>
  <c r="W20" i="100" s="1"/>
  <c r="R21" i="67"/>
  <c r="S21" i="67" s="1"/>
  <c r="W20" i="72" s="1"/>
  <c r="R75" i="67"/>
  <c r="S75" i="67" s="1"/>
  <c r="W74" i="72" s="1"/>
  <c r="V74" i="100"/>
  <c r="W74" i="100" s="1"/>
  <c r="V36" i="100"/>
  <c r="W36" i="100" s="1"/>
  <c r="R37" i="67"/>
  <c r="S37" i="67" s="1"/>
  <c r="W36" i="72" s="1"/>
  <c r="AP50" i="1"/>
  <c r="C49" i="33"/>
  <c r="BA50" i="1"/>
  <c r="AW50" i="1"/>
  <c r="AH48" i="1"/>
  <c r="AK48" i="1"/>
  <c r="AL48" i="1" s="1"/>
  <c r="AO48" i="1"/>
  <c r="V66" i="100"/>
  <c r="W66" i="100" s="1"/>
  <c r="R67" i="67"/>
  <c r="S67" i="67" s="1"/>
  <c r="W66" i="72" s="1"/>
  <c r="V48" i="100"/>
  <c r="W48" i="100" s="1"/>
  <c r="R49" i="67"/>
  <c r="S49" i="67" s="1"/>
  <c r="W48" i="72" s="1"/>
  <c r="R54" i="67"/>
  <c r="S54" i="67" s="1"/>
  <c r="W53" i="72" s="1"/>
  <c r="V53" i="100"/>
  <c r="W53" i="100" s="1"/>
  <c r="AO51" i="1"/>
  <c r="AK51" i="1"/>
  <c r="AL51" i="1" s="1"/>
  <c r="AH51" i="1"/>
  <c r="AH44" i="1"/>
  <c r="AO44" i="1"/>
  <c r="AK44" i="1"/>
  <c r="AL44" i="1" s="1"/>
  <c r="AK76" i="1"/>
  <c r="AL76" i="1" s="1"/>
  <c r="AH76" i="1"/>
  <c r="AO76" i="1"/>
  <c r="AW14" i="1"/>
  <c r="AP14" i="1"/>
  <c r="BA14" i="1"/>
  <c r="C13" i="33"/>
  <c r="AO68" i="1"/>
  <c r="AH68" i="1"/>
  <c r="AK68" i="1"/>
  <c r="AL68" i="1" s="1"/>
  <c r="V7" i="100"/>
  <c r="W7" i="100" s="1"/>
  <c r="R8" i="67"/>
  <c r="S8" i="67" s="1"/>
  <c r="W7" i="72" s="1"/>
  <c r="AW71" i="1"/>
  <c r="C70" i="33"/>
  <c r="BA71" i="1"/>
  <c r="AP71" i="1"/>
  <c r="R47" i="67"/>
  <c r="S47" i="67" s="1"/>
  <c r="W46" i="72" s="1"/>
  <c r="V46" i="100"/>
  <c r="W46" i="100" s="1"/>
  <c r="R60" i="67"/>
  <c r="S60" i="67" s="1"/>
  <c r="W59" i="72" s="1"/>
  <c r="V59" i="100"/>
  <c r="W59" i="100" s="1"/>
  <c r="V49" i="100"/>
  <c r="W49" i="100" s="1"/>
  <c r="R50" i="67"/>
  <c r="S50" i="67" s="1"/>
  <c r="W49" i="72" s="1"/>
  <c r="R18" i="67"/>
  <c r="S18" i="67" s="1"/>
  <c r="W17" i="72" s="1"/>
  <c r="V17" i="100"/>
  <c r="W17" i="100" s="1"/>
  <c r="R14" i="67"/>
  <c r="S14" i="67" s="1"/>
  <c r="W13" i="72" s="1"/>
  <c r="V13" i="100"/>
  <c r="W13" i="100" s="1"/>
  <c r="D31" i="131"/>
  <c r="E31" i="131" s="1"/>
  <c r="H31" i="131" s="1"/>
  <c r="I31" i="131" s="1"/>
  <c r="J31" i="131" s="1"/>
  <c r="L31" i="131" s="1"/>
  <c r="U31" i="131" s="1"/>
  <c r="D31" i="119"/>
  <c r="E31" i="119" s="1"/>
  <c r="H31" i="119" s="1"/>
  <c r="D31" i="117"/>
  <c r="E31" i="117" s="1"/>
  <c r="H31" i="117" s="1"/>
  <c r="D31" i="128"/>
  <c r="E31" i="128" s="1"/>
  <c r="H31" i="128" s="1"/>
  <c r="I31" i="128" s="1"/>
  <c r="J31" i="128" s="1"/>
  <c r="L31" i="128" s="1"/>
  <c r="M31" i="128" s="1"/>
  <c r="V31" i="128" s="1"/>
  <c r="D31" i="120"/>
  <c r="E31" i="120" s="1"/>
  <c r="H31" i="120" s="1"/>
  <c r="D31" i="113"/>
  <c r="E31" i="113" s="1"/>
  <c r="H31" i="113" s="1"/>
  <c r="D31" i="125"/>
  <c r="E31" i="125" s="1"/>
  <c r="H31" i="125" s="1"/>
  <c r="I31" i="125" s="1"/>
  <c r="J31" i="125" s="1"/>
  <c r="L31" i="125" s="1"/>
  <c r="M31" i="125" s="1"/>
  <c r="V31" i="125" s="1"/>
  <c r="D28" i="76"/>
  <c r="D31" i="129"/>
  <c r="E31" i="129" s="1"/>
  <c r="H31" i="129" s="1"/>
  <c r="I31" i="129" s="1"/>
  <c r="J31" i="129" s="1"/>
  <c r="L31" i="129" s="1"/>
  <c r="U31" i="129" s="1"/>
  <c r="D31" i="116"/>
  <c r="E31" i="116" s="1"/>
  <c r="H31" i="116" s="1"/>
  <c r="D31" i="127"/>
  <c r="E31" i="127" s="1"/>
  <c r="H31" i="127" s="1"/>
  <c r="I31" i="127" s="1"/>
  <c r="J31" i="127" s="1"/>
  <c r="L31" i="127" s="1"/>
  <c r="D31" i="114"/>
  <c r="E31" i="114" s="1"/>
  <c r="H31" i="114" s="1"/>
  <c r="D31" i="126"/>
  <c r="E31" i="126" s="1"/>
  <c r="H31" i="126" s="1"/>
  <c r="I31" i="126" s="1"/>
  <c r="J31" i="126" s="1"/>
  <c r="L31" i="126" s="1"/>
  <c r="D31" i="115"/>
  <c r="E31" i="115" s="1"/>
  <c r="H31" i="115" s="1"/>
  <c r="D31" i="118"/>
  <c r="E31" i="118" s="1"/>
  <c r="H31" i="118" s="1"/>
  <c r="D28" i="80"/>
  <c r="AO61" i="1"/>
  <c r="AH61" i="1"/>
  <c r="AK61" i="1"/>
  <c r="AL61" i="1" s="1"/>
  <c r="R53" i="67"/>
  <c r="S53" i="67" s="1"/>
  <c r="W52" i="72" s="1"/>
  <c r="V52" i="100"/>
  <c r="W52" i="100" s="1"/>
  <c r="C69" i="33"/>
  <c r="AP70" i="1"/>
  <c r="AW70" i="1"/>
  <c r="BA70" i="1"/>
  <c r="V10" i="100"/>
  <c r="W10" i="100" s="1"/>
  <c r="R11" i="67"/>
  <c r="S11" i="67" s="1"/>
  <c r="W10" i="72" s="1"/>
  <c r="AK38" i="1"/>
  <c r="AL38" i="1" s="1"/>
  <c r="AO38" i="1"/>
  <c r="AH38" i="1"/>
  <c r="AH55" i="1"/>
  <c r="AO55" i="1"/>
  <c r="AK55" i="1"/>
  <c r="AL55" i="1" s="1"/>
  <c r="AP41" i="1"/>
  <c r="BA41" i="1"/>
  <c r="AW41" i="1"/>
  <c r="C40" i="33"/>
  <c r="D11" i="46"/>
  <c r="E11" i="46" s="1"/>
  <c r="H11" i="46" s="1"/>
  <c r="L11" i="46" s="1"/>
  <c r="N11" i="46" s="1"/>
  <c r="D23" i="117"/>
  <c r="E23" i="117" s="1"/>
  <c r="H23" i="117" s="1"/>
  <c r="D23" i="113"/>
  <c r="E23" i="113" s="1"/>
  <c r="H23" i="113" s="1"/>
  <c r="D17" i="46"/>
  <c r="E17" i="46" s="1"/>
  <c r="H17" i="46" s="1"/>
  <c r="D23" i="129"/>
  <c r="E23" i="129" s="1"/>
  <c r="H23" i="129" s="1"/>
  <c r="I23" i="129" s="1"/>
  <c r="J23" i="129" s="1"/>
  <c r="L23" i="129" s="1"/>
  <c r="D16" i="46"/>
  <c r="E16" i="46" s="1"/>
  <c r="H16" i="46" s="1"/>
  <c r="L16" i="46" s="1"/>
  <c r="N16" i="46" s="1"/>
  <c r="D23" i="126"/>
  <c r="E23" i="126" s="1"/>
  <c r="H23" i="126" s="1"/>
  <c r="I23" i="126" s="1"/>
  <c r="J23" i="126" s="1"/>
  <c r="L23" i="126" s="1"/>
  <c r="D23" i="115"/>
  <c r="E23" i="115" s="1"/>
  <c r="H23" i="115" s="1"/>
  <c r="D10" i="46"/>
  <c r="E10" i="46" s="1"/>
  <c r="D20" i="80"/>
  <c r="D20" i="76"/>
  <c r="D12" i="46"/>
  <c r="E12" i="46" s="1"/>
  <c r="H12" i="46" s="1"/>
  <c r="L12" i="46" s="1"/>
  <c r="N12" i="46" s="1"/>
  <c r="D23" i="118"/>
  <c r="E23" i="118" s="1"/>
  <c r="H23" i="118" s="1"/>
  <c r="D7" i="46"/>
  <c r="E7" i="46" s="1"/>
  <c r="H7" i="46" s="1"/>
  <c r="D23" i="114"/>
  <c r="E23" i="114" s="1"/>
  <c r="H23" i="114" s="1"/>
  <c r="D23" i="120"/>
  <c r="E23" i="120" s="1"/>
  <c r="H23" i="120" s="1"/>
  <c r="D23" i="119"/>
  <c r="E23" i="119" s="1"/>
  <c r="H23" i="119" s="1"/>
  <c r="D23" i="116"/>
  <c r="E23" i="116" s="1"/>
  <c r="H23" i="116" s="1"/>
  <c r="D23" i="125"/>
  <c r="E23" i="125" s="1"/>
  <c r="H23" i="125" s="1"/>
  <c r="I23" i="125" s="1"/>
  <c r="J23" i="125" s="1"/>
  <c r="L23" i="125" s="1"/>
  <c r="M23" i="125" s="1"/>
  <c r="V23" i="125" s="1"/>
  <c r="D13" i="46"/>
  <c r="E13" i="46" s="1"/>
  <c r="H13" i="46" s="1"/>
  <c r="L13" i="46" s="1"/>
  <c r="N13" i="46" s="1"/>
  <c r="D15" i="46"/>
  <c r="E15" i="46" s="1"/>
  <c r="H15" i="46" s="1"/>
  <c r="L15" i="46" s="1"/>
  <c r="N15" i="46" s="1"/>
  <c r="D14" i="46"/>
  <c r="E14" i="46" s="1"/>
  <c r="H14" i="46" s="1"/>
  <c r="L14" i="46" s="1"/>
  <c r="N14" i="46" s="1"/>
  <c r="D23" i="127"/>
  <c r="E23" i="127" s="1"/>
  <c r="H23" i="127" s="1"/>
  <c r="I23" i="127" s="1"/>
  <c r="J23" i="127" s="1"/>
  <c r="L23" i="127" s="1"/>
  <c r="U23" i="127" s="1"/>
  <c r="D23" i="128"/>
  <c r="E23" i="128" s="1"/>
  <c r="H23" i="128" s="1"/>
  <c r="I23" i="128" s="1"/>
  <c r="J23" i="128" s="1"/>
  <c r="L23" i="128" s="1"/>
  <c r="U23" i="128" s="1"/>
  <c r="D23" i="131"/>
  <c r="E23" i="131" s="1"/>
  <c r="H23" i="131" s="1"/>
  <c r="I23" i="131" s="1"/>
  <c r="J23" i="131" s="1"/>
  <c r="L23" i="131" s="1"/>
  <c r="AP24" i="1"/>
  <c r="C23" i="33"/>
  <c r="G25" i="81"/>
  <c r="H25" i="81"/>
  <c r="X77" i="1"/>
  <c r="W77" i="1"/>
  <c r="G85" i="81" s="1"/>
  <c r="E27" i="81"/>
  <c r="AC16" i="1"/>
  <c r="Z77" i="1"/>
  <c r="V16" i="1"/>
  <c r="U77" i="1"/>
  <c r="I9" i="80"/>
  <c r="S12" i="33" s="1"/>
  <c r="J10" i="137"/>
  <c r="I50" i="80"/>
  <c r="S53" i="33" s="1"/>
  <c r="M45" i="128"/>
  <c r="V45" i="128" s="1"/>
  <c r="I71" i="76"/>
  <c r="R74" i="33" s="1"/>
  <c r="M45" i="129"/>
  <c r="V45" i="129" s="1"/>
  <c r="I9" i="76"/>
  <c r="R12" i="33" s="1"/>
  <c r="I22" i="118"/>
  <c r="J22" i="118" s="1"/>
  <c r="L22" i="118" s="1"/>
  <c r="O22" i="33"/>
  <c r="M22" i="128"/>
  <c r="V22" i="128" s="1"/>
  <c r="U22" i="128"/>
  <c r="M22" i="131"/>
  <c r="V22" i="131" s="1"/>
  <c r="U22" i="131"/>
  <c r="M22" i="125"/>
  <c r="V22" i="125" s="1"/>
  <c r="U22" i="125"/>
  <c r="U22" i="126"/>
  <c r="M22" i="126"/>
  <c r="V22" i="126" s="1"/>
  <c r="I22" i="119"/>
  <c r="J22" i="119" s="1"/>
  <c r="L22" i="119" s="1"/>
  <c r="P22" i="33"/>
  <c r="I22" i="113"/>
  <c r="J22" i="113" s="1"/>
  <c r="L22" i="113" s="1"/>
  <c r="M22" i="113" s="1"/>
  <c r="J22" i="33"/>
  <c r="L22" i="33"/>
  <c r="I22" i="115"/>
  <c r="J22" i="115" s="1"/>
  <c r="L22" i="115" s="1"/>
  <c r="AQ23" i="1"/>
  <c r="AV23" i="1"/>
  <c r="AX23" i="1"/>
  <c r="U45" i="125"/>
  <c r="I71" i="80"/>
  <c r="S74" i="33" s="1"/>
  <c r="M22" i="129"/>
  <c r="V22" i="129" s="1"/>
  <c r="U22" i="129"/>
  <c r="J19" i="80"/>
  <c r="K19" i="80" s="1"/>
  <c r="M19" i="80" s="1"/>
  <c r="I22" i="120"/>
  <c r="J22" i="120" s="1"/>
  <c r="L22" i="120" s="1"/>
  <c r="Q22" i="33"/>
  <c r="M22" i="127"/>
  <c r="V22" i="127" s="1"/>
  <c r="U22" i="127"/>
  <c r="J19" i="76"/>
  <c r="K19" i="76" s="1"/>
  <c r="M19" i="76" s="1"/>
  <c r="M22" i="33"/>
  <c r="I22" i="116"/>
  <c r="J22" i="116" s="1"/>
  <c r="L22" i="116" s="1"/>
  <c r="W21" i="100"/>
  <c r="K22" i="33"/>
  <c r="I22" i="114"/>
  <c r="J22" i="114" s="1"/>
  <c r="L22" i="114" s="1"/>
  <c r="N22" i="33"/>
  <c r="I22" i="117"/>
  <c r="J22" i="117" s="1"/>
  <c r="L22" i="117" s="1"/>
  <c r="W60" i="100"/>
  <c r="I19" i="80"/>
  <c r="S22" i="33" s="1"/>
  <c r="I19" i="76"/>
  <c r="R22" i="33" s="1"/>
  <c r="D22" i="67"/>
  <c r="E22" i="67" s="1"/>
  <c r="F22" i="67" s="1"/>
  <c r="G22" i="67" s="1"/>
  <c r="AC22" i="33"/>
  <c r="AX13" i="1"/>
  <c r="AV13" i="1"/>
  <c r="AV62" i="1"/>
  <c r="AX62" i="1"/>
  <c r="M63" i="114"/>
  <c r="V63" i="114" s="1"/>
  <c r="U63" i="114"/>
  <c r="I74" i="113"/>
  <c r="J74" i="113" s="1"/>
  <c r="L74" i="113" s="1"/>
  <c r="M74" i="113" s="1"/>
  <c r="J74" i="33"/>
  <c r="I74" i="114"/>
  <c r="J74" i="114" s="1"/>
  <c r="L74" i="114" s="1"/>
  <c r="K74" i="33"/>
  <c r="V71" i="80"/>
  <c r="N71" i="80"/>
  <c r="W71" i="80" s="1"/>
  <c r="L45" i="33"/>
  <c r="I45" i="115"/>
  <c r="J45" i="115" s="1"/>
  <c r="L45" i="115" s="1"/>
  <c r="I45" i="116"/>
  <c r="J45" i="116" s="1"/>
  <c r="L45" i="116" s="1"/>
  <c r="M45" i="33"/>
  <c r="K45" i="33"/>
  <c r="I45" i="114"/>
  <c r="J45" i="114" s="1"/>
  <c r="L45" i="114" s="1"/>
  <c r="N9" i="76"/>
  <c r="W9" i="76" s="1"/>
  <c r="V9" i="76"/>
  <c r="Q12" i="33"/>
  <c r="I12" i="120"/>
  <c r="J12" i="120" s="1"/>
  <c r="L12" i="120" s="1"/>
  <c r="M12" i="127"/>
  <c r="V12" i="127" s="1"/>
  <c r="U12" i="127"/>
  <c r="U12" i="125"/>
  <c r="M12" i="125"/>
  <c r="V12" i="125" s="1"/>
  <c r="I58" i="80"/>
  <c r="S61" i="33" s="1"/>
  <c r="M61" i="127"/>
  <c r="V61" i="127" s="1"/>
  <c r="U61" i="127"/>
  <c r="M61" i="125"/>
  <c r="V61" i="125" s="1"/>
  <c r="U61" i="125"/>
  <c r="I61" i="114"/>
  <c r="J61" i="114" s="1"/>
  <c r="L61" i="114" s="1"/>
  <c r="K61" i="33"/>
  <c r="Q61" i="33"/>
  <c r="I61" i="120"/>
  <c r="J61" i="120" s="1"/>
  <c r="L61" i="120" s="1"/>
  <c r="M63" i="117"/>
  <c r="X63" i="117" s="1"/>
  <c r="O63" i="117"/>
  <c r="W63" i="117" s="1"/>
  <c r="D12" i="67"/>
  <c r="E12" i="67" s="1"/>
  <c r="F12" i="67" s="1"/>
  <c r="G12" i="67" s="1"/>
  <c r="AC12" i="33"/>
  <c r="T63" i="67"/>
  <c r="J63" i="67"/>
  <c r="K63" i="67" s="1"/>
  <c r="W63" i="67" s="1"/>
  <c r="U74" i="131"/>
  <c r="M74" i="131"/>
  <c r="V74" i="131" s="1"/>
  <c r="U74" i="129"/>
  <c r="M74" i="129"/>
  <c r="V74" i="129" s="1"/>
  <c r="U74" i="125"/>
  <c r="M74" i="125"/>
  <c r="V74" i="125" s="1"/>
  <c r="I74" i="120"/>
  <c r="J74" i="120" s="1"/>
  <c r="L74" i="120" s="1"/>
  <c r="Q74" i="33"/>
  <c r="I74" i="118"/>
  <c r="J74" i="118" s="1"/>
  <c r="L74" i="118" s="1"/>
  <c r="O74" i="33"/>
  <c r="I45" i="113"/>
  <c r="J45" i="113" s="1"/>
  <c r="L45" i="113" s="1"/>
  <c r="M45" i="113" s="1"/>
  <c r="J45" i="33"/>
  <c r="E42" i="76"/>
  <c r="H42" i="76" s="1"/>
  <c r="I42" i="76"/>
  <c r="I45" i="118"/>
  <c r="J45" i="118" s="1"/>
  <c r="L45" i="118" s="1"/>
  <c r="O45" i="33"/>
  <c r="U63" i="116"/>
  <c r="K12" i="33"/>
  <c r="I12" i="114"/>
  <c r="J12" i="114" s="1"/>
  <c r="L12" i="114" s="1"/>
  <c r="I12" i="113"/>
  <c r="J12" i="113" s="1"/>
  <c r="L12" i="113" s="1"/>
  <c r="M12" i="113" s="1"/>
  <c r="J12" i="33"/>
  <c r="I61" i="118"/>
  <c r="J61" i="118" s="1"/>
  <c r="L61" i="118" s="1"/>
  <c r="O61" i="33"/>
  <c r="J58" i="76"/>
  <c r="K58" i="76" s="1"/>
  <c r="M58" i="76" s="1"/>
  <c r="U61" i="131"/>
  <c r="M61" i="131"/>
  <c r="V61" i="131" s="1"/>
  <c r="I61" i="116"/>
  <c r="J61" i="116" s="1"/>
  <c r="L61" i="116" s="1"/>
  <c r="M61" i="33"/>
  <c r="L61" i="33"/>
  <c r="I61" i="115"/>
  <c r="J61" i="115" s="1"/>
  <c r="L61" i="115" s="1"/>
  <c r="P61" i="33"/>
  <c r="I61" i="119"/>
  <c r="J61" i="119" s="1"/>
  <c r="L61" i="119" s="1"/>
  <c r="D50" i="31"/>
  <c r="E50" i="31" s="1"/>
  <c r="H50" i="31" s="1"/>
  <c r="J50" i="31" s="1"/>
  <c r="D33" i="31"/>
  <c r="E33" i="31" s="1"/>
  <c r="H33" i="31" s="1"/>
  <c r="J33" i="31" s="1"/>
  <c r="N60" i="76"/>
  <c r="W60" i="76" s="1"/>
  <c r="V60" i="76"/>
  <c r="D61" i="67"/>
  <c r="E61" i="67" s="1"/>
  <c r="F61" i="67" s="1"/>
  <c r="G61" i="67" s="1"/>
  <c r="AC61" i="33"/>
  <c r="AX46" i="1"/>
  <c r="AV46" i="1"/>
  <c r="AQ46" i="1"/>
  <c r="M74" i="33"/>
  <c r="I74" i="116"/>
  <c r="J74" i="116" s="1"/>
  <c r="L74" i="116" s="1"/>
  <c r="I74" i="127"/>
  <c r="J74" i="127" s="1"/>
  <c r="L74" i="127" s="1"/>
  <c r="M74" i="128"/>
  <c r="V74" i="128" s="1"/>
  <c r="U74" i="128"/>
  <c r="N74" i="33"/>
  <c r="I74" i="117"/>
  <c r="J74" i="117" s="1"/>
  <c r="L74" i="117" s="1"/>
  <c r="W44" i="100"/>
  <c r="M45" i="127"/>
  <c r="V45" i="127" s="1"/>
  <c r="U45" i="127"/>
  <c r="U45" i="126"/>
  <c r="M45" i="126"/>
  <c r="V45" i="126" s="1"/>
  <c r="E57" i="81"/>
  <c r="I45" i="33"/>
  <c r="L23" i="46"/>
  <c r="N23" i="46" s="1"/>
  <c r="N45" i="33"/>
  <c r="I45" i="117"/>
  <c r="J45" i="117" s="1"/>
  <c r="L45" i="117" s="1"/>
  <c r="I45" i="119"/>
  <c r="J45" i="119" s="1"/>
  <c r="L45" i="119" s="1"/>
  <c r="P45" i="33"/>
  <c r="I42" i="80"/>
  <c r="E42" i="80"/>
  <c r="H42" i="80" s="1"/>
  <c r="W11" i="100"/>
  <c r="M12" i="33"/>
  <c r="I12" i="116"/>
  <c r="J12" i="116" s="1"/>
  <c r="L12" i="116" s="1"/>
  <c r="M12" i="126"/>
  <c r="V12" i="126" s="1"/>
  <c r="U12" i="126"/>
  <c r="I12" i="118"/>
  <c r="J12" i="118" s="1"/>
  <c r="L12" i="118" s="1"/>
  <c r="O12" i="33"/>
  <c r="N9" i="80"/>
  <c r="W9" i="80" s="1"/>
  <c r="V9" i="80"/>
  <c r="I12" i="119"/>
  <c r="J12" i="119" s="1"/>
  <c r="L12" i="119" s="1"/>
  <c r="P12" i="33"/>
  <c r="M12" i="128"/>
  <c r="V12" i="128" s="1"/>
  <c r="U12" i="128"/>
  <c r="M61" i="126"/>
  <c r="V61" i="126" s="1"/>
  <c r="U61" i="126"/>
  <c r="U61" i="129"/>
  <c r="M61" i="129"/>
  <c r="V61" i="129" s="1"/>
  <c r="U61" i="128"/>
  <c r="M61" i="128"/>
  <c r="V61" i="128" s="1"/>
  <c r="I61" i="113"/>
  <c r="J61" i="113" s="1"/>
  <c r="L61" i="113" s="1"/>
  <c r="M61" i="113" s="1"/>
  <c r="J61" i="33"/>
  <c r="N61" i="33"/>
  <c r="I61" i="117"/>
  <c r="J61" i="117" s="1"/>
  <c r="L61" i="117" s="1"/>
  <c r="W62" i="100"/>
  <c r="AC74" i="33"/>
  <c r="D74" i="67"/>
  <c r="E74" i="67" s="1"/>
  <c r="F74" i="67" s="1"/>
  <c r="G74" i="67" s="1"/>
  <c r="W73" i="100"/>
  <c r="D45" i="67"/>
  <c r="E45" i="67" s="1"/>
  <c r="F45" i="67" s="1"/>
  <c r="G45" i="67" s="1"/>
  <c r="AC45" i="33"/>
  <c r="M74" i="126"/>
  <c r="V74" i="126" s="1"/>
  <c r="U74" i="126"/>
  <c r="I74" i="115"/>
  <c r="J74" i="115" s="1"/>
  <c r="L74" i="115" s="1"/>
  <c r="L74" i="33"/>
  <c r="I74" i="119"/>
  <c r="J74" i="119" s="1"/>
  <c r="L74" i="119" s="1"/>
  <c r="P74" i="33"/>
  <c r="J71" i="76"/>
  <c r="K71" i="76" s="1"/>
  <c r="M71" i="76" s="1"/>
  <c r="I45" i="131"/>
  <c r="J45" i="131" s="1"/>
  <c r="L45" i="131" s="1"/>
  <c r="E24" i="46"/>
  <c r="H21" i="46"/>
  <c r="H24" i="46" s="1"/>
  <c r="I45" i="120"/>
  <c r="J45" i="120" s="1"/>
  <c r="L45" i="120" s="1"/>
  <c r="Q45" i="33"/>
  <c r="M12" i="129"/>
  <c r="V12" i="129" s="1"/>
  <c r="U12" i="129"/>
  <c r="I12" i="115"/>
  <c r="J12" i="115" s="1"/>
  <c r="L12" i="115" s="1"/>
  <c r="L12" i="33"/>
  <c r="N12" i="33"/>
  <c r="I12" i="117"/>
  <c r="J12" i="117" s="1"/>
  <c r="L12" i="117" s="1"/>
  <c r="U12" i="131"/>
  <c r="M12" i="131"/>
  <c r="V12" i="131" s="1"/>
  <c r="I58" i="76"/>
  <c r="R61" i="33" s="1"/>
  <c r="J58" i="80"/>
  <c r="K58" i="80" s="1"/>
  <c r="M58" i="80" s="1"/>
  <c r="U63" i="118"/>
  <c r="M63" i="118"/>
  <c r="V63" i="118" s="1"/>
  <c r="U59" i="129"/>
  <c r="M59" i="129"/>
  <c r="V59" i="129" s="1"/>
  <c r="U71" i="125"/>
  <c r="M71" i="125"/>
  <c r="V71" i="125" s="1"/>
  <c r="V56" i="76"/>
  <c r="N56" i="76"/>
  <c r="W56" i="76" s="1"/>
  <c r="M59" i="127"/>
  <c r="V59" i="127" s="1"/>
  <c r="U59" i="127"/>
  <c r="M71" i="118"/>
  <c r="V71" i="118" s="1"/>
  <c r="U71" i="118"/>
  <c r="U71" i="116"/>
  <c r="M71" i="116"/>
  <c r="V71" i="116" s="1"/>
  <c r="U34" i="131"/>
  <c r="M34" i="131"/>
  <c r="V34" i="131" s="1"/>
  <c r="U34" i="113"/>
  <c r="V34" i="113"/>
  <c r="V68" i="80"/>
  <c r="N68" i="80"/>
  <c r="W68" i="80" s="1"/>
  <c r="U71" i="128"/>
  <c r="M71" i="128"/>
  <c r="V71" i="128" s="1"/>
  <c r="M59" i="114"/>
  <c r="V59" i="114" s="1"/>
  <c r="U59" i="114"/>
  <c r="M71" i="119"/>
  <c r="V71" i="119" s="1"/>
  <c r="U71" i="119"/>
  <c r="U59" i="118"/>
  <c r="M59" i="118"/>
  <c r="V59" i="118" s="1"/>
  <c r="U34" i="114"/>
  <c r="M34" i="114"/>
  <c r="V34" i="114" s="1"/>
  <c r="M59" i="115"/>
  <c r="V59" i="115" s="1"/>
  <c r="U59" i="115"/>
  <c r="O71" i="117"/>
  <c r="W71" i="117" s="1"/>
  <c r="M71" i="117"/>
  <c r="X71" i="117" s="1"/>
  <c r="J71" i="67"/>
  <c r="K71" i="67" s="1"/>
  <c r="W71" i="67" s="1"/>
  <c r="T71" i="67"/>
  <c r="M71" i="127"/>
  <c r="V71" i="127" s="1"/>
  <c r="U71" i="127"/>
  <c r="U71" i="113"/>
  <c r="V71" i="113"/>
  <c r="U71" i="120"/>
  <c r="M71" i="120"/>
  <c r="V71" i="120" s="1"/>
  <c r="M34" i="115"/>
  <c r="V34" i="115" s="1"/>
  <c r="U34" i="115"/>
  <c r="M34" i="116"/>
  <c r="V34" i="116" s="1"/>
  <c r="U34" i="116"/>
  <c r="M34" i="117"/>
  <c r="X34" i="117" s="1"/>
  <c r="U59" i="119"/>
  <c r="M59" i="120"/>
  <c r="V59" i="120" s="1"/>
  <c r="U59" i="120"/>
  <c r="M71" i="126"/>
  <c r="V71" i="126" s="1"/>
  <c r="U71" i="126"/>
  <c r="U71" i="129"/>
  <c r="M71" i="129"/>
  <c r="V71" i="129" s="1"/>
  <c r="V31" i="76"/>
  <c r="N31" i="76"/>
  <c r="W31" i="76" s="1"/>
  <c r="U34" i="119"/>
  <c r="M34" i="119"/>
  <c r="V34" i="119" s="1"/>
  <c r="U59" i="113"/>
  <c r="V59" i="113"/>
  <c r="T59" i="67"/>
  <c r="J59" i="67"/>
  <c r="K59" i="67" s="1"/>
  <c r="W59" i="67" s="1"/>
  <c r="M34" i="126"/>
  <c r="V34" i="126" s="1"/>
  <c r="U34" i="126"/>
  <c r="M34" i="127"/>
  <c r="V34" i="127" s="1"/>
  <c r="U34" i="127"/>
  <c r="U71" i="115"/>
  <c r="M71" i="115"/>
  <c r="V71" i="115" s="1"/>
  <c r="N68" i="76"/>
  <c r="W68" i="76" s="1"/>
  <c r="V68" i="76"/>
  <c r="V31" i="80"/>
  <c r="N31" i="80"/>
  <c r="W31" i="80" s="1"/>
  <c r="O59" i="117"/>
  <c r="W59" i="117" s="1"/>
  <c r="M59" i="117"/>
  <c r="X59" i="117" s="1"/>
  <c r="M59" i="125"/>
  <c r="V59" i="125" s="1"/>
  <c r="U59" i="125"/>
  <c r="M59" i="116"/>
  <c r="V59" i="116" s="1"/>
  <c r="U59" i="116"/>
  <c r="M71" i="114"/>
  <c r="V71" i="114" s="1"/>
  <c r="U71" i="114"/>
  <c r="M34" i="118"/>
  <c r="V34" i="118" s="1"/>
  <c r="U34" i="118"/>
  <c r="U71" i="131"/>
  <c r="M71" i="131"/>
  <c r="V71" i="131" s="1"/>
  <c r="J34" i="67"/>
  <c r="K34" i="67" s="1"/>
  <c r="W34" i="67" s="1"/>
  <c r="T34" i="67"/>
  <c r="N50" i="80"/>
  <c r="W50" i="80" s="1"/>
  <c r="V50" i="80"/>
  <c r="T71" i="33"/>
  <c r="U71" i="33" s="1"/>
  <c r="X71" i="33" s="1"/>
  <c r="AG8" i="1"/>
  <c r="AF8" i="1"/>
  <c r="O7" i="67"/>
  <c r="P7" i="67" s="1"/>
  <c r="U63" i="113" l="1"/>
  <c r="M63" i="113"/>
  <c r="V63" i="113" s="1"/>
  <c r="M58" i="113"/>
  <c r="V58" i="113" s="1"/>
  <c r="D46" i="31"/>
  <c r="E46" i="31" s="1"/>
  <c r="H46" i="31" s="1"/>
  <c r="J46" i="31" s="1"/>
  <c r="D52" i="31"/>
  <c r="E52" i="31" s="1"/>
  <c r="H52" i="31" s="1"/>
  <c r="J52" i="31" s="1"/>
  <c r="T59" i="33"/>
  <c r="U59" i="33" s="1"/>
  <c r="X59" i="33" s="1"/>
  <c r="U58" i="118"/>
  <c r="AW24" i="1"/>
  <c r="AX24" i="1" s="1"/>
  <c r="U63" i="120"/>
  <c r="U62" i="129"/>
  <c r="T34" i="33"/>
  <c r="AX43" i="1"/>
  <c r="AX75" i="1"/>
  <c r="U34" i="120"/>
  <c r="D43" i="31"/>
  <c r="E43" i="31" s="1"/>
  <c r="H43" i="31" s="1"/>
  <c r="J43" i="31" s="1"/>
  <c r="D65" i="31"/>
  <c r="E65" i="31" s="1"/>
  <c r="H65" i="31" s="1"/>
  <c r="J65" i="31" s="1"/>
  <c r="AV75" i="1"/>
  <c r="D25" i="31"/>
  <c r="E25" i="31" s="1"/>
  <c r="H25" i="31" s="1"/>
  <c r="J25" i="31" s="1"/>
  <c r="D66" i="31"/>
  <c r="E66" i="31" s="1"/>
  <c r="H66" i="31" s="1"/>
  <c r="J66" i="31" s="1"/>
  <c r="M42" i="131"/>
  <c r="V42" i="131" s="1"/>
  <c r="AX35" i="1"/>
  <c r="C39" i="33"/>
  <c r="U63" i="115"/>
  <c r="M63" i="119"/>
  <c r="V63" i="119" s="1"/>
  <c r="N37" i="80"/>
  <c r="W37" i="80" s="1"/>
  <c r="U58" i="113"/>
  <c r="U34" i="33"/>
  <c r="X34" i="33" s="1"/>
  <c r="AV35" i="1"/>
  <c r="D13" i="113"/>
  <c r="E13" i="113" s="1"/>
  <c r="H13" i="113" s="1"/>
  <c r="I13" i="113" s="1"/>
  <c r="J13" i="113" s="1"/>
  <c r="L13" i="113" s="1"/>
  <c r="M13" i="113" s="1"/>
  <c r="BA40" i="1"/>
  <c r="U42" i="127"/>
  <c r="D13" i="118"/>
  <c r="E13" i="118" s="1"/>
  <c r="H13" i="118" s="1"/>
  <c r="O13" i="33" s="1"/>
  <c r="D14" i="125"/>
  <c r="E14" i="125" s="1"/>
  <c r="H14" i="125" s="1"/>
  <c r="I14" i="125" s="1"/>
  <c r="J14" i="125" s="1"/>
  <c r="L14" i="125" s="1"/>
  <c r="U14" i="125" s="1"/>
  <c r="D13" i="117"/>
  <c r="E13" i="117" s="1"/>
  <c r="H13" i="117" s="1"/>
  <c r="N13" i="33" s="1"/>
  <c r="D13" i="126"/>
  <c r="E13" i="126" s="1"/>
  <c r="H13" i="126" s="1"/>
  <c r="I13" i="126" s="1"/>
  <c r="J13" i="126" s="1"/>
  <c r="L13" i="126" s="1"/>
  <c r="M13" i="126" s="1"/>
  <c r="V13" i="126" s="1"/>
  <c r="D13" i="116"/>
  <c r="E13" i="116" s="1"/>
  <c r="H13" i="116" s="1"/>
  <c r="M13" i="33" s="1"/>
  <c r="D13" i="128"/>
  <c r="E13" i="128" s="1"/>
  <c r="H13" i="128" s="1"/>
  <c r="I13" i="128" s="1"/>
  <c r="J13" i="128" s="1"/>
  <c r="L13" i="128" s="1"/>
  <c r="U13" i="128" s="1"/>
  <c r="D13" i="131"/>
  <c r="E13" i="131" s="1"/>
  <c r="H13" i="131" s="1"/>
  <c r="I13" i="131" s="1"/>
  <c r="J13" i="131" s="1"/>
  <c r="L13" i="131" s="1"/>
  <c r="U13" i="131" s="1"/>
  <c r="D13" i="129"/>
  <c r="E13" i="129" s="1"/>
  <c r="H13" i="129" s="1"/>
  <c r="I13" i="129" s="1"/>
  <c r="J13" i="129" s="1"/>
  <c r="L13" i="129" s="1"/>
  <c r="M13" i="129" s="1"/>
  <c r="V13" i="129" s="1"/>
  <c r="M70" i="125"/>
  <c r="V70" i="125" s="1"/>
  <c r="D27" i="131"/>
  <c r="E27" i="131" s="1"/>
  <c r="H27" i="131" s="1"/>
  <c r="I27" i="131" s="1"/>
  <c r="J27" i="131" s="1"/>
  <c r="L27" i="131" s="1"/>
  <c r="U27" i="131" s="1"/>
  <c r="D25" i="126"/>
  <c r="E25" i="126" s="1"/>
  <c r="H25" i="126" s="1"/>
  <c r="I25" i="126" s="1"/>
  <c r="J25" i="126" s="1"/>
  <c r="L25" i="126" s="1"/>
  <c r="D25" i="118"/>
  <c r="E25" i="118" s="1"/>
  <c r="H25" i="118" s="1"/>
  <c r="D25" i="131"/>
  <c r="E25" i="131" s="1"/>
  <c r="H25" i="131" s="1"/>
  <c r="I25" i="131" s="1"/>
  <c r="J25" i="131" s="1"/>
  <c r="L25" i="131" s="1"/>
  <c r="D25" i="115"/>
  <c r="E25" i="115" s="1"/>
  <c r="H25" i="115" s="1"/>
  <c r="D25" i="119"/>
  <c r="E25" i="119" s="1"/>
  <c r="H25" i="119" s="1"/>
  <c r="D25" i="120"/>
  <c r="E25" i="120" s="1"/>
  <c r="H25" i="120" s="1"/>
  <c r="D25" i="127"/>
  <c r="E25" i="127" s="1"/>
  <c r="H25" i="127" s="1"/>
  <c r="I25" i="127" s="1"/>
  <c r="J25" i="127" s="1"/>
  <c r="L25" i="127" s="1"/>
  <c r="D25" i="125"/>
  <c r="E25" i="125" s="1"/>
  <c r="H25" i="125" s="1"/>
  <c r="I25" i="125" s="1"/>
  <c r="J25" i="125" s="1"/>
  <c r="L25" i="125" s="1"/>
  <c r="D25" i="129"/>
  <c r="E25" i="129" s="1"/>
  <c r="H25" i="129" s="1"/>
  <c r="I25" i="129" s="1"/>
  <c r="J25" i="129" s="1"/>
  <c r="L25" i="129" s="1"/>
  <c r="D25" i="128"/>
  <c r="E25" i="128" s="1"/>
  <c r="H25" i="128" s="1"/>
  <c r="I25" i="128" s="1"/>
  <c r="J25" i="128" s="1"/>
  <c r="L25" i="128" s="1"/>
  <c r="D25" i="116"/>
  <c r="E25" i="116" s="1"/>
  <c r="H25" i="116" s="1"/>
  <c r="D22" i="80"/>
  <c r="D25" i="114"/>
  <c r="E25" i="114" s="1"/>
  <c r="H25" i="114" s="1"/>
  <c r="D25" i="117"/>
  <c r="E25" i="117" s="1"/>
  <c r="H25" i="117" s="1"/>
  <c r="D22" i="76"/>
  <c r="D25" i="113"/>
  <c r="E25" i="113" s="1"/>
  <c r="H25" i="113" s="1"/>
  <c r="AW26" i="1"/>
  <c r="AQ26" i="1" s="1"/>
  <c r="C25" i="33"/>
  <c r="AP26" i="1"/>
  <c r="BA26" i="1"/>
  <c r="M53" i="114"/>
  <c r="V53" i="114" s="1"/>
  <c r="M42" i="129"/>
  <c r="V42" i="129" s="1"/>
  <c r="D45" i="31"/>
  <c r="E45" i="31" s="1"/>
  <c r="H45" i="31" s="1"/>
  <c r="J45" i="31" s="1"/>
  <c r="D14" i="31"/>
  <c r="E14" i="31" s="1"/>
  <c r="H14" i="31" s="1"/>
  <c r="J14" i="31" s="1"/>
  <c r="D34" i="31"/>
  <c r="E34" i="31" s="1"/>
  <c r="H34" i="31" s="1"/>
  <c r="J34" i="31" s="1"/>
  <c r="D13" i="31"/>
  <c r="E13" i="31" s="1"/>
  <c r="H13" i="31" s="1"/>
  <c r="J13" i="31" s="1"/>
  <c r="D37" i="31"/>
  <c r="E37" i="31" s="1"/>
  <c r="H37" i="31" s="1"/>
  <c r="J37" i="31" s="1"/>
  <c r="I42" i="117"/>
  <c r="J42" i="117" s="1"/>
  <c r="L42" i="117" s="1"/>
  <c r="M42" i="117" s="1"/>
  <c r="X42" i="117" s="1"/>
  <c r="D48" i="31"/>
  <c r="E48" i="31" s="1"/>
  <c r="H48" i="31" s="1"/>
  <c r="J48" i="31" s="1"/>
  <c r="D39" i="31"/>
  <c r="E39" i="31" s="1"/>
  <c r="H39" i="31" s="1"/>
  <c r="J39" i="31" s="1"/>
  <c r="D63" i="31"/>
  <c r="E63" i="31" s="1"/>
  <c r="H63" i="31" s="1"/>
  <c r="J63" i="31" s="1"/>
  <c r="D62" i="31"/>
  <c r="E62" i="31" s="1"/>
  <c r="H62" i="31" s="1"/>
  <c r="J62" i="31" s="1"/>
  <c r="D61" i="31"/>
  <c r="E61" i="31" s="1"/>
  <c r="H61" i="31" s="1"/>
  <c r="J61" i="31" s="1"/>
  <c r="D9" i="31"/>
  <c r="E9" i="31" s="1"/>
  <c r="H9" i="31" s="1"/>
  <c r="J9" i="31" s="1"/>
  <c r="D51" i="31"/>
  <c r="E51" i="31" s="1"/>
  <c r="H51" i="31" s="1"/>
  <c r="J51" i="31" s="1"/>
  <c r="D40" i="31"/>
  <c r="E40" i="31" s="1"/>
  <c r="H40" i="31" s="1"/>
  <c r="J40" i="31" s="1"/>
  <c r="K53" i="33"/>
  <c r="D17" i="31"/>
  <c r="E17" i="31" s="1"/>
  <c r="H17" i="31" s="1"/>
  <c r="J17" i="31" s="1"/>
  <c r="D56" i="31"/>
  <c r="E56" i="31" s="1"/>
  <c r="H56" i="31" s="1"/>
  <c r="J56" i="31" s="1"/>
  <c r="D68" i="31"/>
  <c r="E68" i="31" s="1"/>
  <c r="H68" i="31" s="1"/>
  <c r="J68" i="31" s="1"/>
  <c r="D41" i="31"/>
  <c r="E41" i="31" s="1"/>
  <c r="H41" i="31" s="1"/>
  <c r="J41" i="31" s="1"/>
  <c r="D26" i="31"/>
  <c r="E26" i="31" s="1"/>
  <c r="H26" i="31" s="1"/>
  <c r="J26" i="31" s="1"/>
  <c r="D28" i="31"/>
  <c r="E28" i="31" s="1"/>
  <c r="H28" i="31" s="1"/>
  <c r="J28" i="31" s="1"/>
  <c r="D38" i="31"/>
  <c r="E38" i="31" s="1"/>
  <c r="H38" i="31" s="1"/>
  <c r="J38" i="31" s="1"/>
  <c r="M53" i="127"/>
  <c r="V53" i="127" s="1"/>
  <c r="AQ43" i="1"/>
  <c r="D67" i="31"/>
  <c r="E67" i="31" s="1"/>
  <c r="H67" i="31" s="1"/>
  <c r="J67" i="31" s="1"/>
  <c r="D21" i="31"/>
  <c r="E21" i="31" s="1"/>
  <c r="H21" i="31" s="1"/>
  <c r="J21" i="31" s="1"/>
  <c r="X46" i="33"/>
  <c r="AD46" i="33"/>
  <c r="AE46" i="33" s="1"/>
  <c r="V46" i="33"/>
  <c r="C45" i="72" s="1"/>
  <c r="D13" i="125"/>
  <c r="E13" i="125" s="1"/>
  <c r="H13" i="125" s="1"/>
  <c r="I13" i="125" s="1"/>
  <c r="J13" i="125" s="1"/>
  <c r="L13" i="125" s="1"/>
  <c r="M13" i="125" s="1"/>
  <c r="V13" i="125" s="1"/>
  <c r="D13" i="119"/>
  <c r="E13" i="119" s="1"/>
  <c r="H13" i="119" s="1"/>
  <c r="I13" i="119" s="1"/>
  <c r="J13" i="119" s="1"/>
  <c r="L13" i="119" s="1"/>
  <c r="D13" i="114"/>
  <c r="E13" i="114" s="1"/>
  <c r="H13" i="114" s="1"/>
  <c r="K13" i="33" s="1"/>
  <c r="D10" i="76"/>
  <c r="E10" i="76" s="1"/>
  <c r="H10" i="76" s="1"/>
  <c r="J10" i="76" s="1"/>
  <c r="K10" i="76" s="1"/>
  <c r="M10" i="76" s="1"/>
  <c r="J42" i="33"/>
  <c r="U13" i="129"/>
  <c r="I37" i="76"/>
  <c r="R40" i="33" s="1"/>
  <c r="D10" i="80"/>
  <c r="E10" i="80" s="1"/>
  <c r="H10" i="80" s="1"/>
  <c r="J10" i="80" s="1"/>
  <c r="K10" i="80" s="1"/>
  <c r="M10" i="80" s="1"/>
  <c r="D13" i="120"/>
  <c r="E13" i="120" s="1"/>
  <c r="H13" i="120" s="1"/>
  <c r="Q13" i="33" s="1"/>
  <c r="D13" i="127"/>
  <c r="E13" i="127" s="1"/>
  <c r="H13" i="127" s="1"/>
  <c r="I13" i="127" s="1"/>
  <c r="J13" i="127" s="1"/>
  <c r="L13" i="127" s="1"/>
  <c r="U13" i="127" s="1"/>
  <c r="U42" i="128"/>
  <c r="U49" i="125"/>
  <c r="D27" i="118"/>
  <c r="E27" i="118" s="1"/>
  <c r="H27" i="118" s="1"/>
  <c r="O27" i="33" s="1"/>
  <c r="AW20" i="1"/>
  <c r="AQ20" i="1" s="1"/>
  <c r="AP28" i="1"/>
  <c r="AC27" i="33" s="1"/>
  <c r="I42" i="118"/>
  <c r="J42" i="118" s="1"/>
  <c r="L42" i="118" s="1"/>
  <c r="U42" i="118" s="1"/>
  <c r="M76" i="114"/>
  <c r="V76" i="114" s="1"/>
  <c r="U76" i="114"/>
  <c r="I62" i="114"/>
  <c r="J62" i="114" s="1"/>
  <c r="L62" i="114" s="1"/>
  <c r="K62" i="33"/>
  <c r="E59" i="76"/>
  <c r="H59" i="76" s="1"/>
  <c r="J59" i="76" s="1"/>
  <c r="K59" i="76" s="1"/>
  <c r="M59" i="76" s="1"/>
  <c r="I59" i="76"/>
  <c r="AC62" i="33"/>
  <c r="D62" i="67"/>
  <c r="E62" i="67" s="1"/>
  <c r="F62" i="67" s="1"/>
  <c r="G62" i="67" s="1"/>
  <c r="M42" i="33"/>
  <c r="I39" i="80"/>
  <c r="S42" i="33" s="1"/>
  <c r="C27" i="33"/>
  <c r="I62" i="113"/>
  <c r="J62" i="113" s="1"/>
  <c r="L62" i="113" s="1"/>
  <c r="M62" i="113" s="1"/>
  <c r="J62" i="33"/>
  <c r="M62" i="128"/>
  <c r="V62" i="128" s="1"/>
  <c r="U62" i="128"/>
  <c r="M62" i="125"/>
  <c r="V62" i="125" s="1"/>
  <c r="U62" i="125"/>
  <c r="L62" i="33"/>
  <c r="I62" i="115"/>
  <c r="J62" i="115" s="1"/>
  <c r="L62" i="115" s="1"/>
  <c r="O62" i="33"/>
  <c r="I62" i="118"/>
  <c r="J62" i="118" s="1"/>
  <c r="L62" i="118" s="1"/>
  <c r="AV63" i="1"/>
  <c r="AX63" i="1"/>
  <c r="AC42" i="33"/>
  <c r="D27" i="114"/>
  <c r="E27" i="114" s="1"/>
  <c r="H27" i="114" s="1"/>
  <c r="K27" i="33" s="1"/>
  <c r="AP20" i="1"/>
  <c r="D19" i="67" s="1"/>
  <c r="E19" i="67" s="1"/>
  <c r="F19" i="67" s="1"/>
  <c r="G19" i="67" s="1"/>
  <c r="BA28" i="1"/>
  <c r="M58" i="120"/>
  <c r="V58" i="120" s="1"/>
  <c r="P62" i="33"/>
  <c r="I62" i="119"/>
  <c r="J62" i="119" s="1"/>
  <c r="L62" i="119" s="1"/>
  <c r="M62" i="127"/>
  <c r="V62" i="127" s="1"/>
  <c r="U62" i="127"/>
  <c r="I62" i="120"/>
  <c r="J62" i="120" s="1"/>
  <c r="L62" i="120" s="1"/>
  <c r="Q62" i="33"/>
  <c r="I62" i="117"/>
  <c r="J62" i="117" s="1"/>
  <c r="L62" i="117" s="1"/>
  <c r="N62" i="33"/>
  <c r="AW37" i="1"/>
  <c r="AP37" i="1"/>
  <c r="C36" i="33"/>
  <c r="BA37" i="1"/>
  <c r="AQ37" i="1"/>
  <c r="U62" i="126"/>
  <c r="M62" i="126"/>
  <c r="V62" i="126" s="1"/>
  <c r="D36" i="131"/>
  <c r="E36" i="131" s="1"/>
  <c r="H36" i="131" s="1"/>
  <c r="I36" i="131" s="1"/>
  <c r="J36" i="131" s="1"/>
  <c r="L36" i="131" s="1"/>
  <c r="D36" i="114"/>
  <c r="E36" i="114" s="1"/>
  <c r="H36" i="114" s="1"/>
  <c r="D36" i="117"/>
  <c r="E36" i="117" s="1"/>
  <c r="H36" i="117" s="1"/>
  <c r="D33" i="76"/>
  <c r="E33" i="76" s="1"/>
  <c r="H33" i="76" s="1"/>
  <c r="J33" i="76" s="1"/>
  <c r="K33" i="76" s="1"/>
  <c r="M33" i="76" s="1"/>
  <c r="D36" i="127"/>
  <c r="E36" i="127" s="1"/>
  <c r="H36" i="127" s="1"/>
  <c r="I36" i="127" s="1"/>
  <c r="J36" i="127" s="1"/>
  <c r="L36" i="127" s="1"/>
  <c r="D36" i="125"/>
  <c r="E36" i="125" s="1"/>
  <c r="H36" i="125" s="1"/>
  <c r="I36" i="125" s="1"/>
  <c r="J36" i="125" s="1"/>
  <c r="L36" i="125" s="1"/>
  <c r="D36" i="115"/>
  <c r="E36" i="115" s="1"/>
  <c r="H36" i="115" s="1"/>
  <c r="D33" i="80"/>
  <c r="E33" i="80" s="1"/>
  <c r="H33" i="80" s="1"/>
  <c r="J33" i="80" s="1"/>
  <c r="K33" i="80" s="1"/>
  <c r="M33" i="80" s="1"/>
  <c r="D36" i="116"/>
  <c r="E36" i="116" s="1"/>
  <c r="H36" i="116" s="1"/>
  <c r="D36" i="118"/>
  <c r="E36" i="118" s="1"/>
  <c r="H36" i="118" s="1"/>
  <c r="D36" i="120"/>
  <c r="E36" i="120" s="1"/>
  <c r="H36" i="120" s="1"/>
  <c r="D36" i="129"/>
  <c r="E36" i="129" s="1"/>
  <c r="H36" i="129" s="1"/>
  <c r="I36" i="129" s="1"/>
  <c r="J36" i="129" s="1"/>
  <c r="L36" i="129" s="1"/>
  <c r="D36" i="126"/>
  <c r="E36" i="126" s="1"/>
  <c r="H36" i="126" s="1"/>
  <c r="I36" i="126" s="1"/>
  <c r="J36" i="126" s="1"/>
  <c r="L36" i="126" s="1"/>
  <c r="D36" i="128"/>
  <c r="E36" i="128" s="1"/>
  <c r="H36" i="128" s="1"/>
  <c r="I36" i="128" s="1"/>
  <c r="J36" i="128" s="1"/>
  <c r="L36" i="128" s="1"/>
  <c r="D36" i="119"/>
  <c r="E36" i="119" s="1"/>
  <c r="H36" i="119" s="1"/>
  <c r="D36" i="113"/>
  <c r="E36" i="113" s="1"/>
  <c r="H36" i="113" s="1"/>
  <c r="M53" i="117"/>
  <c r="X53" i="117" s="1"/>
  <c r="D27" i="125"/>
  <c r="E27" i="125" s="1"/>
  <c r="H27" i="125" s="1"/>
  <c r="I27" i="125" s="1"/>
  <c r="J27" i="125" s="1"/>
  <c r="L27" i="125" s="1"/>
  <c r="M27" i="125" s="1"/>
  <c r="V27" i="125" s="1"/>
  <c r="U62" i="131"/>
  <c r="M62" i="131"/>
  <c r="V62" i="131" s="1"/>
  <c r="M62" i="33"/>
  <c r="I62" i="116"/>
  <c r="J62" i="116" s="1"/>
  <c r="L62" i="116" s="1"/>
  <c r="E59" i="80"/>
  <c r="H59" i="80" s="1"/>
  <c r="J59" i="80" s="1"/>
  <c r="K59" i="80" s="1"/>
  <c r="M59" i="80" s="1"/>
  <c r="I59" i="80"/>
  <c r="AQ63" i="1"/>
  <c r="D14" i="116"/>
  <c r="E14" i="116" s="1"/>
  <c r="H14" i="116" s="1"/>
  <c r="M14" i="33" s="1"/>
  <c r="D24" i="76"/>
  <c r="I24" i="76" s="1"/>
  <c r="D27" i="117"/>
  <c r="E27" i="117" s="1"/>
  <c r="H27" i="117" s="1"/>
  <c r="I27" i="117" s="1"/>
  <c r="J27" i="117" s="1"/>
  <c r="L27" i="117" s="1"/>
  <c r="T58" i="33"/>
  <c r="U58" i="33" s="1"/>
  <c r="AD58" i="33" s="1"/>
  <c r="AE58" i="33" s="1"/>
  <c r="U31" i="128"/>
  <c r="V50" i="76"/>
  <c r="U53" i="128"/>
  <c r="M31" i="129"/>
  <c r="V31" i="129" s="1"/>
  <c r="K42" i="33"/>
  <c r="U42" i="125"/>
  <c r="M58" i="119"/>
  <c r="V58" i="119" s="1"/>
  <c r="D27" i="116"/>
  <c r="E27" i="116" s="1"/>
  <c r="H27" i="116" s="1"/>
  <c r="I27" i="116" s="1"/>
  <c r="J27" i="116" s="1"/>
  <c r="L27" i="116" s="1"/>
  <c r="D27" i="115"/>
  <c r="E27" i="115" s="1"/>
  <c r="H27" i="115" s="1"/>
  <c r="I27" i="115" s="1"/>
  <c r="J27" i="115" s="1"/>
  <c r="L27" i="115" s="1"/>
  <c r="D27" i="120"/>
  <c r="E27" i="120" s="1"/>
  <c r="H27" i="120" s="1"/>
  <c r="Q27" i="33" s="1"/>
  <c r="D24" i="80"/>
  <c r="E24" i="80" s="1"/>
  <c r="H24" i="80" s="1"/>
  <c r="AW40" i="1"/>
  <c r="AQ40" i="1" s="1"/>
  <c r="D39" i="113"/>
  <c r="E39" i="113" s="1"/>
  <c r="H39" i="113" s="1"/>
  <c r="J39" i="33" s="1"/>
  <c r="D27" i="127"/>
  <c r="E27" i="127" s="1"/>
  <c r="H27" i="127" s="1"/>
  <c r="I27" i="127" s="1"/>
  <c r="J27" i="127" s="1"/>
  <c r="L27" i="127" s="1"/>
  <c r="D27" i="126"/>
  <c r="E27" i="126" s="1"/>
  <c r="H27" i="126" s="1"/>
  <c r="I27" i="126" s="1"/>
  <c r="J27" i="126" s="1"/>
  <c r="L27" i="126" s="1"/>
  <c r="U27" i="126" s="1"/>
  <c r="M49" i="131"/>
  <c r="V49" i="131" s="1"/>
  <c r="M53" i="126"/>
  <c r="V53" i="126" s="1"/>
  <c r="U53" i="125"/>
  <c r="M23" i="128"/>
  <c r="V23" i="128" s="1"/>
  <c r="I42" i="120"/>
  <c r="J42" i="120" s="1"/>
  <c r="L42" i="120" s="1"/>
  <c r="M42" i="120" s="1"/>
  <c r="V42" i="120" s="1"/>
  <c r="D19" i="131"/>
  <c r="E19" i="131" s="1"/>
  <c r="H19" i="131" s="1"/>
  <c r="I19" i="131" s="1"/>
  <c r="J19" i="131" s="1"/>
  <c r="L19" i="131" s="1"/>
  <c r="M19" i="131" s="1"/>
  <c r="V19" i="131" s="1"/>
  <c r="D27" i="113"/>
  <c r="E27" i="113" s="1"/>
  <c r="H27" i="113" s="1"/>
  <c r="I27" i="113" s="1"/>
  <c r="J27" i="113" s="1"/>
  <c r="L27" i="113" s="1"/>
  <c r="M27" i="113" s="1"/>
  <c r="D27" i="128"/>
  <c r="E27" i="128" s="1"/>
  <c r="H27" i="128" s="1"/>
  <c r="I27" i="128" s="1"/>
  <c r="J27" i="128" s="1"/>
  <c r="L27" i="128" s="1"/>
  <c r="M27" i="128" s="1"/>
  <c r="V27" i="128" s="1"/>
  <c r="D27" i="129"/>
  <c r="E27" i="129" s="1"/>
  <c r="H27" i="129" s="1"/>
  <c r="I27" i="129" s="1"/>
  <c r="J27" i="129" s="1"/>
  <c r="L27" i="129" s="1"/>
  <c r="U27" i="129" s="1"/>
  <c r="D39" i="126"/>
  <c r="E39" i="126" s="1"/>
  <c r="H39" i="126" s="1"/>
  <c r="I39" i="126" s="1"/>
  <c r="J39" i="126" s="1"/>
  <c r="L39" i="126" s="1"/>
  <c r="M39" i="126" s="1"/>
  <c r="V39" i="126" s="1"/>
  <c r="M69" i="128"/>
  <c r="V69" i="128" s="1"/>
  <c r="U69" i="131"/>
  <c r="U53" i="120"/>
  <c r="M64" i="126"/>
  <c r="V64" i="126" s="1"/>
  <c r="M31" i="131"/>
  <c r="V31" i="131" s="1"/>
  <c r="D36" i="31"/>
  <c r="E36" i="31" s="1"/>
  <c r="H36" i="31" s="1"/>
  <c r="J36" i="31" s="1"/>
  <c r="D47" i="31"/>
  <c r="E47" i="31" s="1"/>
  <c r="H47" i="31" s="1"/>
  <c r="J47" i="31" s="1"/>
  <c r="D32" i="31"/>
  <c r="E32" i="31" s="1"/>
  <c r="H32" i="31" s="1"/>
  <c r="J32" i="31" s="1"/>
  <c r="D19" i="31"/>
  <c r="E19" i="31" s="1"/>
  <c r="H19" i="31" s="1"/>
  <c r="J19" i="31" s="1"/>
  <c r="D64" i="31"/>
  <c r="E64" i="31" s="1"/>
  <c r="H64" i="31" s="1"/>
  <c r="J64" i="31" s="1"/>
  <c r="D24" i="31"/>
  <c r="E24" i="31" s="1"/>
  <c r="H24" i="31" s="1"/>
  <c r="J24" i="31" s="1"/>
  <c r="D58" i="31"/>
  <c r="E58" i="31" s="1"/>
  <c r="H58" i="31" s="1"/>
  <c r="J58" i="31" s="1"/>
  <c r="D55" i="31"/>
  <c r="E55" i="31" s="1"/>
  <c r="H55" i="31" s="1"/>
  <c r="J55" i="31" s="1"/>
  <c r="D49" i="31"/>
  <c r="E49" i="31" s="1"/>
  <c r="H49" i="31" s="1"/>
  <c r="J49" i="31" s="1"/>
  <c r="D59" i="31"/>
  <c r="E59" i="31" s="1"/>
  <c r="H59" i="31" s="1"/>
  <c r="J59" i="31" s="1"/>
  <c r="D29" i="31"/>
  <c r="E29" i="31" s="1"/>
  <c r="H29" i="31" s="1"/>
  <c r="J29" i="31" s="1"/>
  <c r="D30" i="31"/>
  <c r="E30" i="31" s="1"/>
  <c r="H30" i="31" s="1"/>
  <c r="J30" i="31" s="1"/>
  <c r="D23" i="31"/>
  <c r="E23" i="31" s="1"/>
  <c r="H23" i="31" s="1"/>
  <c r="J23" i="31" s="1"/>
  <c r="D53" i="31"/>
  <c r="E53" i="31" s="1"/>
  <c r="H53" i="31" s="1"/>
  <c r="J53" i="31" s="1"/>
  <c r="U42" i="126"/>
  <c r="I42" i="119"/>
  <c r="J42" i="119" s="1"/>
  <c r="L42" i="119" s="1"/>
  <c r="U42" i="119" s="1"/>
  <c r="I39" i="76"/>
  <c r="R42" i="33" s="1"/>
  <c r="Q53" i="33"/>
  <c r="I53" i="119"/>
  <c r="J53" i="119" s="1"/>
  <c r="L53" i="119" s="1"/>
  <c r="M53" i="119" s="1"/>
  <c r="V53" i="119" s="1"/>
  <c r="C19" i="33"/>
  <c r="AP15" i="1"/>
  <c r="D14" i="67" s="1"/>
  <c r="E14" i="67" s="1"/>
  <c r="F14" i="67" s="1"/>
  <c r="G14" i="67" s="1"/>
  <c r="D39" i="125"/>
  <c r="E39" i="125" s="1"/>
  <c r="H39" i="125" s="1"/>
  <c r="I39" i="125" s="1"/>
  <c r="J39" i="125" s="1"/>
  <c r="L39" i="125" s="1"/>
  <c r="U39" i="125" s="1"/>
  <c r="D36" i="76"/>
  <c r="E36" i="76" s="1"/>
  <c r="H36" i="76" s="1"/>
  <c r="J36" i="76" s="1"/>
  <c r="K36" i="76" s="1"/>
  <c r="M36" i="76" s="1"/>
  <c r="U40" i="126"/>
  <c r="D39" i="128"/>
  <c r="E39" i="128" s="1"/>
  <c r="H39" i="128" s="1"/>
  <c r="I39" i="128" s="1"/>
  <c r="J39" i="128" s="1"/>
  <c r="L39" i="128" s="1"/>
  <c r="M39" i="128" s="1"/>
  <c r="V39" i="128" s="1"/>
  <c r="D39" i="127"/>
  <c r="E39" i="127" s="1"/>
  <c r="H39" i="127" s="1"/>
  <c r="I39" i="127" s="1"/>
  <c r="J39" i="127" s="1"/>
  <c r="L39" i="127" s="1"/>
  <c r="M39" i="127" s="1"/>
  <c r="V39" i="127" s="1"/>
  <c r="D54" i="31"/>
  <c r="E54" i="31" s="1"/>
  <c r="H54" i="31" s="1"/>
  <c r="J54" i="31" s="1"/>
  <c r="D27" i="31"/>
  <c r="E27" i="31" s="1"/>
  <c r="H27" i="31" s="1"/>
  <c r="J27" i="31" s="1"/>
  <c r="D22" i="31"/>
  <c r="E22" i="31" s="1"/>
  <c r="H22" i="31" s="1"/>
  <c r="J22" i="31" s="1"/>
  <c r="D12" i="31"/>
  <c r="E12" i="31" s="1"/>
  <c r="H12" i="31" s="1"/>
  <c r="D60" i="31"/>
  <c r="E60" i="31" s="1"/>
  <c r="H60" i="31" s="1"/>
  <c r="J60" i="31" s="1"/>
  <c r="D31" i="31"/>
  <c r="E31" i="31" s="1"/>
  <c r="H31" i="31" s="1"/>
  <c r="J31" i="31" s="1"/>
  <c r="D15" i="31"/>
  <c r="E15" i="31" s="1"/>
  <c r="H15" i="31" s="1"/>
  <c r="J15" i="31" s="1"/>
  <c r="D20" i="31"/>
  <c r="E20" i="31" s="1"/>
  <c r="H20" i="31" s="1"/>
  <c r="J20" i="31" s="1"/>
  <c r="D44" i="31"/>
  <c r="E44" i="31" s="1"/>
  <c r="H44" i="31" s="1"/>
  <c r="J44" i="31" s="1"/>
  <c r="D57" i="31"/>
  <c r="E57" i="31" s="1"/>
  <c r="H57" i="31" s="1"/>
  <c r="J57" i="31" s="1"/>
  <c r="D18" i="31"/>
  <c r="E18" i="31" s="1"/>
  <c r="H18" i="31" s="1"/>
  <c r="J18" i="31" s="1"/>
  <c r="D7" i="31"/>
  <c r="E7" i="31" s="1"/>
  <c r="H7" i="31" s="1"/>
  <c r="D42" i="31"/>
  <c r="E42" i="31" s="1"/>
  <c r="H42" i="31" s="1"/>
  <c r="J42" i="31" s="1"/>
  <c r="D35" i="31"/>
  <c r="E35" i="31" s="1"/>
  <c r="H35" i="31" s="1"/>
  <c r="J35" i="31" s="1"/>
  <c r="AW15" i="1"/>
  <c r="AQ15" i="1" s="1"/>
  <c r="D39" i="120"/>
  <c r="E39" i="120" s="1"/>
  <c r="H39" i="120" s="1"/>
  <c r="Q39" i="33" s="1"/>
  <c r="D39" i="114"/>
  <c r="E39" i="114" s="1"/>
  <c r="H39" i="114" s="1"/>
  <c r="I39" i="114" s="1"/>
  <c r="J39" i="114" s="1"/>
  <c r="L39" i="114" s="1"/>
  <c r="I53" i="116"/>
  <c r="J53" i="116" s="1"/>
  <c r="L53" i="116" s="1"/>
  <c r="M53" i="116" s="1"/>
  <c r="V53" i="116" s="1"/>
  <c r="D14" i="114"/>
  <c r="E14" i="114" s="1"/>
  <c r="H14" i="114" s="1"/>
  <c r="K14" i="33" s="1"/>
  <c r="I42" i="115"/>
  <c r="J42" i="115" s="1"/>
  <c r="L42" i="115" s="1"/>
  <c r="U42" i="115" s="1"/>
  <c r="N53" i="33"/>
  <c r="I53" i="115"/>
  <c r="J53" i="115" s="1"/>
  <c r="L53" i="115" s="1"/>
  <c r="U53" i="115" s="1"/>
  <c r="D14" i="126"/>
  <c r="E14" i="126" s="1"/>
  <c r="H14" i="126" s="1"/>
  <c r="I14" i="126" s="1"/>
  <c r="J14" i="126" s="1"/>
  <c r="L14" i="126" s="1"/>
  <c r="M14" i="126" s="1"/>
  <c r="V14" i="126" s="1"/>
  <c r="D14" i="118"/>
  <c r="E14" i="118" s="1"/>
  <c r="H14" i="118" s="1"/>
  <c r="O14" i="33" s="1"/>
  <c r="D19" i="116"/>
  <c r="E19" i="116" s="1"/>
  <c r="H19" i="116" s="1"/>
  <c r="M19" i="33" s="1"/>
  <c r="C14" i="33"/>
  <c r="D39" i="129"/>
  <c r="E39" i="129" s="1"/>
  <c r="H39" i="129" s="1"/>
  <c r="I39" i="129" s="1"/>
  <c r="J39" i="129" s="1"/>
  <c r="L39" i="129" s="1"/>
  <c r="U39" i="129" s="1"/>
  <c r="D36" i="80"/>
  <c r="E36" i="80" s="1"/>
  <c r="H36" i="80" s="1"/>
  <c r="J36" i="80" s="1"/>
  <c r="K36" i="80" s="1"/>
  <c r="M36" i="80" s="1"/>
  <c r="V36" i="80" s="1"/>
  <c r="D39" i="115"/>
  <c r="E39" i="115" s="1"/>
  <c r="H39" i="115" s="1"/>
  <c r="I39" i="115" s="1"/>
  <c r="J39" i="115" s="1"/>
  <c r="L39" i="115" s="1"/>
  <c r="D39" i="117"/>
  <c r="E39" i="117" s="1"/>
  <c r="H39" i="117" s="1"/>
  <c r="N39" i="33" s="1"/>
  <c r="D56" i="120"/>
  <c r="E56" i="120" s="1"/>
  <c r="H56" i="120" s="1"/>
  <c r="D56" i="125"/>
  <c r="E56" i="125" s="1"/>
  <c r="H56" i="125" s="1"/>
  <c r="I56" i="125" s="1"/>
  <c r="J56" i="125" s="1"/>
  <c r="L56" i="125" s="1"/>
  <c r="D56" i="126"/>
  <c r="E56" i="126" s="1"/>
  <c r="H56" i="126" s="1"/>
  <c r="I56" i="126" s="1"/>
  <c r="J56" i="126" s="1"/>
  <c r="L56" i="126" s="1"/>
  <c r="D56" i="117"/>
  <c r="E56" i="117" s="1"/>
  <c r="H56" i="117" s="1"/>
  <c r="D56" i="115"/>
  <c r="E56" i="115" s="1"/>
  <c r="H56" i="115" s="1"/>
  <c r="D56" i="118"/>
  <c r="E56" i="118" s="1"/>
  <c r="H56" i="118" s="1"/>
  <c r="D56" i="114"/>
  <c r="E56" i="114" s="1"/>
  <c r="H56" i="114" s="1"/>
  <c r="D56" i="131"/>
  <c r="E56" i="131" s="1"/>
  <c r="H56" i="131" s="1"/>
  <c r="I56" i="131" s="1"/>
  <c r="J56" i="131" s="1"/>
  <c r="L56" i="131" s="1"/>
  <c r="D53" i="76"/>
  <c r="E53" i="76" s="1"/>
  <c r="H53" i="76" s="1"/>
  <c r="J53" i="76" s="1"/>
  <c r="K53" i="76" s="1"/>
  <c r="M53" i="76" s="1"/>
  <c r="D56" i="119"/>
  <c r="E56" i="119" s="1"/>
  <c r="H56" i="119" s="1"/>
  <c r="D56" i="113"/>
  <c r="E56" i="113" s="1"/>
  <c r="H56" i="113" s="1"/>
  <c r="D56" i="128"/>
  <c r="E56" i="128" s="1"/>
  <c r="H56" i="128" s="1"/>
  <c r="I56" i="128" s="1"/>
  <c r="J56" i="128" s="1"/>
  <c r="L56" i="128" s="1"/>
  <c r="D56" i="116"/>
  <c r="E56" i="116" s="1"/>
  <c r="H56" i="116" s="1"/>
  <c r="D56" i="127"/>
  <c r="E56" i="127" s="1"/>
  <c r="H56" i="127" s="1"/>
  <c r="I56" i="127" s="1"/>
  <c r="J56" i="127" s="1"/>
  <c r="L56" i="127" s="1"/>
  <c r="D56" i="129"/>
  <c r="E56" i="129" s="1"/>
  <c r="H56" i="129" s="1"/>
  <c r="I56" i="129" s="1"/>
  <c r="J56" i="129" s="1"/>
  <c r="L56" i="129" s="1"/>
  <c r="D53" i="80"/>
  <c r="E53" i="80" s="1"/>
  <c r="H53" i="80" s="1"/>
  <c r="U40" i="128"/>
  <c r="D14" i="120"/>
  <c r="E14" i="120" s="1"/>
  <c r="H14" i="120" s="1"/>
  <c r="I14" i="120" s="1"/>
  <c r="J14" i="120" s="1"/>
  <c r="L14" i="120" s="1"/>
  <c r="D19" i="119"/>
  <c r="E19" i="119" s="1"/>
  <c r="H19" i="119" s="1"/>
  <c r="P19" i="33" s="1"/>
  <c r="U31" i="125"/>
  <c r="V67" i="80"/>
  <c r="M53" i="131"/>
  <c r="V53" i="131" s="1"/>
  <c r="I53" i="118"/>
  <c r="J53" i="118" s="1"/>
  <c r="L53" i="118" s="1"/>
  <c r="M53" i="118" s="1"/>
  <c r="V53" i="118" s="1"/>
  <c r="I50" i="76"/>
  <c r="R53" i="33" s="1"/>
  <c r="D11" i="76"/>
  <c r="E11" i="76" s="1"/>
  <c r="H11" i="76" s="1"/>
  <c r="J11" i="76" s="1"/>
  <c r="K11" i="76" s="1"/>
  <c r="M11" i="76" s="1"/>
  <c r="D14" i="129"/>
  <c r="E14" i="129" s="1"/>
  <c r="H14" i="129" s="1"/>
  <c r="I14" i="129" s="1"/>
  <c r="J14" i="129" s="1"/>
  <c r="L14" i="129" s="1"/>
  <c r="U14" i="129" s="1"/>
  <c r="D19" i="125"/>
  <c r="E19" i="125" s="1"/>
  <c r="H19" i="125" s="1"/>
  <c r="I19" i="125" s="1"/>
  <c r="J19" i="125" s="1"/>
  <c r="L19" i="125" s="1"/>
  <c r="D39" i="131"/>
  <c r="E39" i="131" s="1"/>
  <c r="H39" i="131" s="1"/>
  <c r="I39" i="131" s="1"/>
  <c r="J39" i="131" s="1"/>
  <c r="L39" i="131" s="1"/>
  <c r="M39" i="131" s="1"/>
  <c r="V39" i="131" s="1"/>
  <c r="D39" i="119"/>
  <c r="E39" i="119" s="1"/>
  <c r="H39" i="119" s="1"/>
  <c r="P39" i="33" s="1"/>
  <c r="D39" i="118"/>
  <c r="E39" i="118" s="1"/>
  <c r="H39" i="118" s="1"/>
  <c r="O39" i="33" s="1"/>
  <c r="W53" i="67"/>
  <c r="AP57" i="1"/>
  <c r="C56" i="33"/>
  <c r="BA57" i="1"/>
  <c r="AW57" i="1"/>
  <c r="AQ57" i="1" s="1"/>
  <c r="U14" i="128"/>
  <c r="M14" i="128"/>
  <c r="V14" i="128" s="1"/>
  <c r="BA29" i="1"/>
  <c r="AW29" i="1"/>
  <c r="AQ29" i="1" s="1"/>
  <c r="C28" i="33"/>
  <c r="AP29" i="1"/>
  <c r="T53" i="67"/>
  <c r="T58" i="67"/>
  <c r="J58" i="67"/>
  <c r="K58" i="67" s="1"/>
  <c r="W58" i="67" s="1"/>
  <c r="U53" i="129"/>
  <c r="D14" i="115"/>
  <c r="E14" i="115" s="1"/>
  <c r="H14" i="115" s="1"/>
  <c r="L14" i="33" s="1"/>
  <c r="D14" i="113"/>
  <c r="E14" i="113" s="1"/>
  <c r="H14" i="113" s="1"/>
  <c r="J14" i="33" s="1"/>
  <c r="D14" i="119"/>
  <c r="E14" i="119" s="1"/>
  <c r="H14" i="119" s="1"/>
  <c r="P14" i="33" s="1"/>
  <c r="D11" i="80"/>
  <c r="E11" i="80" s="1"/>
  <c r="H11" i="80" s="1"/>
  <c r="D19" i="114"/>
  <c r="E19" i="114" s="1"/>
  <c r="H19" i="114" s="1"/>
  <c r="K19" i="33" s="1"/>
  <c r="D19" i="129"/>
  <c r="E19" i="129" s="1"/>
  <c r="H19" i="129" s="1"/>
  <c r="I19" i="129" s="1"/>
  <c r="J19" i="129" s="1"/>
  <c r="L19" i="129" s="1"/>
  <c r="U19" i="129" s="1"/>
  <c r="BA73" i="1"/>
  <c r="C72" i="33"/>
  <c r="AW73" i="1"/>
  <c r="AP73" i="1"/>
  <c r="M70" i="126"/>
  <c r="V70" i="126" s="1"/>
  <c r="M64" i="129"/>
  <c r="V64" i="129" s="1"/>
  <c r="U64" i="125"/>
  <c r="D14" i="127"/>
  <c r="E14" i="127" s="1"/>
  <c r="H14" i="127" s="1"/>
  <c r="I14" i="127" s="1"/>
  <c r="J14" i="127" s="1"/>
  <c r="L14" i="127" s="1"/>
  <c r="D14" i="117"/>
  <c r="E14" i="117" s="1"/>
  <c r="H14" i="117" s="1"/>
  <c r="I14" i="117" s="1"/>
  <c r="J14" i="117" s="1"/>
  <c r="L14" i="117" s="1"/>
  <c r="D14" i="131"/>
  <c r="E14" i="131" s="1"/>
  <c r="H14" i="131" s="1"/>
  <c r="I14" i="131" s="1"/>
  <c r="J14" i="131" s="1"/>
  <c r="L14" i="131" s="1"/>
  <c r="M14" i="131" s="1"/>
  <c r="V14" i="131" s="1"/>
  <c r="D19" i="120"/>
  <c r="E19" i="120" s="1"/>
  <c r="H19" i="120" s="1"/>
  <c r="I19" i="120" s="1"/>
  <c r="J19" i="120" s="1"/>
  <c r="L19" i="120" s="1"/>
  <c r="D19" i="113"/>
  <c r="E19" i="113" s="1"/>
  <c r="H19" i="113" s="1"/>
  <c r="I19" i="113" s="1"/>
  <c r="J19" i="113" s="1"/>
  <c r="L19" i="113" s="1"/>
  <c r="M19" i="113" s="1"/>
  <c r="D25" i="76"/>
  <c r="E25" i="76" s="1"/>
  <c r="H25" i="76" s="1"/>
  <c r="J25" i="76" s="1"/>
  <c r="K25" i="76" s="1"/>
  <c r="M25" i="76" s="1"/>
  <c r="D28" i="120"/>
  <c r="E28" i="120" s="1"/>
  <c r="H28" i="120" s="1"/>
  <c r="D28" i="128"/>
  <c r="E28" i="128" s="1"/>
  <c r="H28" i="128" s="1"/>
  <c r="I28" i="128" s="1"/>
  <c r="J28" i="128" s="1"/>
  <c r="L28" i="128" s="1"/>
  <c r="D28" i="119"/>
  <c r="E28" i="119" s="1"/>
  <c r="H28" i="119" s="1"/>
  <c r="D25" i="80"/>
  <c r="E25" i="80" s="1"/>
  <c r="H25" i="80" s="1"/>
  <c r="D28" i="127"/>
  <c r="E28" i="127" s="1"/>
  <c r="H28" i="127" s="1"/>
  <c r="I28" i="127" s="1"/>
  <c r="J28" i="127" s="1"/>
  <c r="L28" i="127" s="1"/>
  <c r="D28" i="114"/>
  <c r="E28" i="114" s="1"/>
  <c r="H28" i="114" s="1"/>
  <c r="D28" i="116"/>
  <c r="E28" i="116" s="1"/>
  <c r="H28" i="116" s="1"/>
  <c r="D28" i="117"/>
  <c r="E28" i="117" s="1"/>
  <c r="H28" i="117" s="1"/>
  <c r="D28" i="126"/>
  <c r="E28" i="126" s="1"/>
  <c r="H28" i="126" s="1"/>
  <c r="I28" i="126" s="1"/>
  <c r="J28" i="126" s="1"/>
  <c r="L28" i="126" s="1"/>
  <c r="D28" i="125"/>
  <c r="E28" i="125" s="1"/>
  <c r="H28" i="125" s="1"/>
  <c r="I28" i="125" s="1"/>
  <c r="J28" i="125" s="1"/>
  <c r="L28" i="125" s="1"/>
  <c r="D28" i="115"/>
  <c r="E28" i="115" s="1"/>
  <c r="H28" i="115" s="1"/>
  <c r="D28" i="118"/>
  <c r="E28" i="118" s="1"/>
  <c r="H28" i="118" s="1"/>
  <c r="D28" i="113"/>
  <c r="E28" i="113" s="1"/>
  <c r="H28" i="113" s="1"/>
  <c r="D28" i="129"/>
  <c r="E28" i="129" s="1"/>
  <c r="H28" i="129" s="1"/>
  <c r="I28" i="129" s="1"/>
  <c r="J28" i="129" s="1"/>
  <c r="L28" i="129" s="1"/>
  <c r="D28" i="131"/>
  <c r="E28" i="131" s="1"/>
  <c r="H28" i="131" s="1"/>
  <c r="I28" i="131" s="1"/>
  <c r="J28" i="131" s="1"/>
  <c r="L28" i="131" s="1"/>
  <c r="I25" i="76"/>
  <c r="R28" i="33" s="1"/>
  <c r="D69" i="76"/>
  <c r="E69" i="76" s="1"/>
  <c r="H69" i="76" s="1"/>
  <c r="D72" i="125"/>
  <c r="E72" i="125" s="1"/>
  <c r="H72" i="125" s="1"/>
  <c r="I72" i="125" s="1"/>
  <c r="J72" i="125" s="1"/>
  <c r="L72" i="125" s="1"/>
  <c r="D72" i="119"/>
  <c r="E72" i="119" s="1"/>
  <c r="H72" i="119" s="1"/>
  <c r="D72" i="126"/>
  <c r="E72" i="126" s="1"/>
  <c r="H72" i="126" s="1"/>
  <c r="I72" i="126" s="1"/>
  <c r="J72" i="126" s="1"/>
  <c r="L72" i="126" s="1"/>
  <c r="D72" i="127"/>
  <c r="E72" i="127" s="1"/>
  <c r="H72" i="127" s="1"/>
  <c r="I72" i="127" s="1"/>
  <c r="J72" i="127" s="1"/>
  <c r="L72" i="127" s="1"/>
  <c r="D69" i="80"/>
  <c r="D72" i="128"/>
  <c r="E72" i="128" s="1"/>
  <c r="H72" i="128" s="1"/>
  <c r="I72" i="128" s="1"/>
  <c r="J72" i="128" s="1"/>
  <c r="L72" i="128" s="1"/>
  <c r="D72" i="116"/>
  <c r="E72" i="116" s="1"/>
  <c r="H72" i="116" s="1"/>
  <c r="D72" i="114"/>
  <c r="E72" i="114" s="1"/>
  <c r="H72" i="114" s="1"/>
  <c r="D72" i="113"/>
  <c r="E72" i="113" s="1"/>
  <c r="H72" i="113" s="1"/>
  <c r="D72" i="118"/>
  <c r="E72" i="118" s="1"/>
  <c r="H72" i="118" s="1"/>
  <c r="D72" i="131"/>
  <c r="E72" i="131" s="1"/>
  <c r="H72" i="131" s="1"/>
  <c r="I72" i="131" s="1"/>
  <c r="J72" i="131" s="1"/>
  <c r="L72" i="131" s="1"/>
  <c r="D72" i="115"/>
  <c r="E72" i="115" s="1"/>
  <c r="H72" i="115" s="1"/>
  <c r="D72" i="117"/>
  <c r="E72" i="117" s="1"/>
  <c r="H72" i="117" s="1"/>
  <c r="D72" i="120"/>
  <c r="E72" i="120" s="1"/>
  <c r="H72" i="120" s="1"/>
  <c r="D72" i="129"/>
  <c r="E72" i="129" s="1"/>
  <c r="H72" i="129" s="1"/>
  <c r="I72" i="129" s="1"/>
  <c r="J72" i="129" s="1"/>
  <c r="L72" i="129" s="1"/>
  <c r="U19" i="126"/>
  <c r="M19" i="126"/>
  <c r="V19" i="126" s="1"/>
  <c r="E15" i="137"/>
  <c r="H15" i="137" s="1"/>
  <c r="D44" i="118"/>
  <c r="E44" i="118" s="1"/>
  <c r="H44" i="118" s="1"/>
  <c r="D44" i="125"/>
  <c r="E44" i="125" s="1"/>
  <c r="H44" i="125" s="1"/>
  <c r="I44" i="125" s="1"/>
  <c r="J44" i="125" s="1"/>
  <c r="L44" i="125" s="1"/>
  <c r="D44" i="119"/>
  <c r="E44" i="119" s="1"/>
  <c r="H44" i="119" s="1"/>
  <c r="D44" i="117"/>
  <c r="E44" i="117" s="1"/>
  <c r="H44" i="117" s="1"/>
  <c r="D41" i="80"/>
  <c r="E41" i="80" s="1"/>
  <c r="H41" i="80" s="1"/>
  <c r="J41" i="80" s="1"/>
  <c r="K41" i="80" s="1"/>
  <c r="M41" i="80" s="1"/>
  <c r="V41" i="80" s="1"/>
  <c r="D44" i="114"/>
  <c r="E44" i="114" s="1"/>
  <c r="H44" i="114" s="1"/>
  <c r="D44" i="120"/>
  <c r="E44" i="120" s="1"/>
  <c r="H44" i="120" s="1"/>
  <c r="D44" i="128"/>
  <c r="E44" i="128" s="1"/>
  <c r="H44" i="128" s="1"/>
  <c r="I44" i="128" s="1"/>
  <c r="J44" i="128" s="1"/>
  <c r="L44" i="128" s="1"/>
  <c r="D44" i="129"/>
  <c r="E44" i="129" s="1"/>
  <c r="H44" i="129" s="1"/>
  <c r="I44" i="129" s="1"/>
  <c r="J44" i="129" s="1"/>
  <c r="L44" i="129" s="1"/>
  <c r="D41" i="76"/>
  <c r="E41" i="76" s="1"/>
  <c r="H41" i="76" s="1"/>
  <c r="J41" i="76" s="1"/>
  <c r="K41" i="76" s="1"/>
  <c r="M41" i="76" s="1"/>
  <c r="N41" i="76" s="1"/>
  <c r="W41" i="76" s="1"/>
  <c r="D44" i="113"/>
  <c r="E44" i="113" s="1"/>
  <c r="H44" i="113" s="1"/>
  <c r="D44" i="131"/>
  <c r="E44" i="131" s="1"/>
  <c r="H44" i="131" s="1"/>
  <c r="I44" i="131" s="1"/>
  <c r="J44" i="131" s="1"/>
  <c r="L44" i="131" s="1"/>
  <c r="D44" i="116"/>
  <c r="E44" i="116" s="1"/>
  <c r="H44" i="116" s="1"/>
  <c r="D44" i="127"/>
  <c r="E44" i="127" s="1"/>
  <c r="H44" i="127" s="1"/>
  <c r="I44" i="127" s="1"/>
  <c r="J44" i="127" s="1"/>
  <c r="L44" i="127" s="1"/>
  <c r="U44" i="127" s="1"/>
  <c r="D44" i="115"/>
  <c r="E44" i="115" s="1"/>
  <c r="H44" i="115" s="1"/>
  <c r="D44" i="126"/>
  <c r="E44" i="126" s="1"/>
  <c r="H44" i="126" s="1"/>
  <c r="I44" i="126" s="1"/>
  <c r="J44" i="126" s="1"/>
  <c r="L44" i="126" s="1"/>
  <c r="D51" i="129"/>
  <c r="E51" i="129" s="1"/>
  <c r="H51" i="129" s="1"/>
  <c r="I51" i="129" s="1"/>
  <c r="J51" i="129" s="1"/>
  <c r="L51" i="129" s="1"/>
  <c r="D51" i="126"/>
  <c r="E51" i="126" s="1"/>
  <c r="H51" i="126" s="1"/>
  <c r="I51" i="126" s="1"/>
  <c r="J51" i="126" s="1"/>
  <c r="L51" i="126" s="1"/>
  <c r="D48" i="76"/>
  <c r="E48" i="76" s="1"/>
  <c r="H48" i="76" s="1"/>
  <c r="J48" i="76" s="1"/>
  <c r="K48" i="76" s="1"/>
  <c r="M48" i="76" s="1"/>
  <c r="D51" i="120"/>
  <c r="E51" i="120" s="1"/>
  <c r="H51" i="120" s="1"/>
  <c r="D51" i="131"/>
  <c r="E51" i="131" s="1"/>
  <c r="H51" i="131" s="1"/>
  <c r="I51" i="131" s="1"/>
  <c r="J51" i="131" s="1"/>
  <c r="L51" i="131" s="1"/>
  <c r="D51" i="127"/>
  <c r="E51" i="127" s="1"/>
  <c r="H51" i="127" s="1"/>
  <c r="I51" i="127" s="1"/>
  <c r="J51" i="127" s="1"/>
  <c r="L51" i="127" s="1"/>
  <c r="D51" i="128"/>
  <c r="E51" i="128" s="1"/>
  <c r="H51" i="128" s="1"/>
  <c r="I51" i="128" s="1"/>
  <c r="J51" i="128" s="1"/>
  <c r="L51" i="128" s="1"/>
  <c r="D48" i="80"/>
  <c r="E48" i="80" s="1"/>
  <c r="H48" i="80" s="1"/>
  <c r="J48" i="80" s="1"/>
  <c r="K48" i="80" s="1"/>
  <c r="M48" i="80" s="1"/>
  <c r="D51" i="118"/>
  <c r="E51" i="118" s="1"/>
  <c r="H51" i="118" s="1"/>
  <c r="D51" i="117"/>
  <c r="E51" i="117" s="1"/>
  <c r="H51" i="117" s="1"/>
  <c r="D51" i="125"/>
  <c r="E51" i="125" s="1"/>
  <c r="H51" i="125" s="1"/>
  <c r="I51" i="125" s="1"/>
  <c r="J51" i="125" s="1"/>
  <c r="L51" i="125" s="1"/>
  <c r="D51" i="114"/>
  <c r="E51" i="114" s="1"/>
  <c r="H51" i="114" s="1"/>
  <c r="D51" i="119"/>
  <c r="E51" i="119" s="1"/>
  <c r="H51" i="119" s="1"/>
  <c r="D51" i="116"/>
  <c r="E51" i="116" s="1"/>
  <c r="H51" i="116" s="1"/>
  <c r="D51" i="113"/>
  <c r="E51" i="113" s="1"/>
  <c r="H51" i="113" s="1"/>
  <c r="D51" i="115"/>
  <c r="E51" i="115" s="1"/>
  <c r="H51" i="115" s="1"/>
  <c r="U23" i="125"/>
  <c r="D19" i="118"/>
  <c r="E19" i="118" s="1"/>
  <c r="H19" i="118" s="1"/>
  <c r="I19" i="118" s="1"/>
  <c r="J19" i="118" s="1"/>
  <c r="L19" i="118" s="1"/>
  <c r="D19" i="127"/>
  <c r="E19" i="127" s="1"/>
  <c r="H19" i="127" s="1"/>
  <c r="I19" i="127" s="1"/>
  <c r="J19" i="127" s="1"/>
  <c r="L19" i="127" s="1"/>
  <c r="M19" i="127" s="1"/>
  <c r="V19" i="127" s="1"/>
  <c r="D16" i="80"/>
  <c r="E16" i="80" s="1"/>
  <c r="H16" i="80" s="1"/>
  <c r="J16" i="80" s="1"/>
  <c r="K16" i="80" s="1"/>
  <c r="M16" i="80" s="1"/>
  <c r="D16" i="76"/>
  <c r="E16" i="76" s="1"/>
  <c r="H16" i="76" s="1"/>
  <c r="J16" i="76" s="1"/>
  <c r="K16" i="76" s="1"/>
  <c r="M16" i="76" s="1"/>
  <c r="D20" i="113"/>
  <c r="E20" i="113" s="1"/>
  <c r="H20" i="113" s="1"/>
  <c r="D20" i="131"/>
  <c r="E20" i="131" s="1"/>
  <c r="H20" i="131" s="1"/>
  <c r="I20" i="131" s="1"/>
  <c r="J20" i="131" s="1"/>
  <c r="L20" i="131" s="1"/>
  <c r="U20" i="131" s="1"/>
  <c r="D20" i="116"/>
  <c r="E20" i="116" s="1"/>
  <c r="H20" i="116" s="1"/>
  <c r="D20" i="129"/>
  <c r="E20" i="129" s="1"/>
  <c r="H20" i="129" s="1"/>
  <c r="I20" i="129" s="1"/>
  <c r="J20" i="129" s="1"/>
  <c r="L20" i="129" s="1"/>
  <c r="D20" i="127"/>
  <c r="E20" i="127" s="1"/>
  <c r="H20" i="127" s="1"/>
  <c r="I20" i="127" s="1"/>
  <c r="J20" i="127" s="1"/>
  <c r="L20" i="127" s="1"/>
  <c r="D20" i="117"/>
  <c r="E20" i="117" s="1"/>
  <c r="H20" i="117" s="1"/>
  <c r="D20" i="118"/>
  <c r="E20" i="118" s="1"/>
  <c r="H20" i="118" s="1"/>
  <c r="D17" i="76"/>
  <c r="D20" i="119"/>
  <c r="E20" i="119" s="1"/>
  <c r="H20" i="119" s="1"/>
  <c r="D17" i="80"/>
  <c r="D20" i="126"/>
  <c r="E20" i="126" s="1"/>
  <c r="H20" i="126" s="1"/>
  <c r="I20" i="126" s="1"/>
  <c r="J20" i="126" s="1"/>
  <c r="L20" i="126" s="1"/>
  <c r="D20" i="114"/>
  <c r="E20" i="114" s="1"/>
  <c r="H20" i="114" s="1"/>
  <c r="D20" i="128"/>
  <c r="E20" i="128" s="1"/>
  <c r="H20" i="128" s="1"/>
  <c r="I20" i="128" s="1"/>
  <c r="J20" i="128" s="1"/>
  <c r="L20" i="128" s="1"/>
  <c r="D20" i="115"/>
  <c r="E20" i="115" s="1"/>
  <c r="H20" i="115" s="1"/>
  <c r="D20" i="120"/>
  <c r="E20" i="120" s="1"/>
  <c r="H20" i="120" s="1"/>
  <c r="D20" i="125"/>
  <c r="E20" i="125" s="1"/>
  <c r="H20" i="125" s="1"/>
  <c r="I20" i="125" s="1"/>
  <c r="J20" i="125" s="1"/>
  <c r="L20" i="125" s="1"/>
  <c r="BA52" i="1"/>
  <c r="C51" i="33"/>
  <c r="AW52" i="1"/>
  <c r="AQ52" i="1" s="1"/>
  <c r="AP52" i="1"/>
  <c r="D10" i="114"/>
  <c r="E10" i="114" s="1"/>
  <c r="H10" i="114" s="1"/>
  <c r="D10" i="125"/>
  <c r="E10" i="125" s="1"/>
  <c r="H10" i="125" s="1"/>
  <c r="I10" i="125" s="1"/>
  <c r="J10" i="125" s="1"/>
  <c r="L10" i="125" s="1"/>
  <c r="D10" i="119"/>
  <c r="E10" i="119" s="1"/>
  <c r="H10" i="119" s="1"/>
  <c r="D10" i="113"/>
  <c r="E10" i="113" s="1"/>
  <c r="H10" i="113" s="1"/>
  <c r="D7" i="76"/>
  <c r="D10" i="118"/>
  <c r="E10" i="118" s="1"/>
  <c r="H10" i="118" s="1"/>
  <c r="D10" i="115"/>
  <c r="E10" i="115" s="1"/>
  <c r="H10" i="115" s="1"/>
  <c r="D10" i="129"/>
  <c r="E10" i="129" s="1"/>
  <c r="H10" i="129" s="1"/>
  <c r="I10" i="129" s="1"/>
  <c r="J10" i="129" s="1"/>
  <c r="L10" i="129" s="1"/>
  <c r="U10" i="129" s="1"/>
  <c r="D10" i="116"/>
  <c r="E10" i="116" s="1"/>
  <c r="H10" i="116" s="1"/>
  <c r="D7" i="80"/>
  <c r="D10" i="117"/>
  <c r="E10" i="117" s="1"/>
  <c r="H10" i="117" s="1"/>
  <c r="D10" i="126"/>
  <c r="E10" i="126" s="1"/>
  <c r="H10" i="126" s="1"/>
  <c r="I10" i="126" s="1"/>
  <c r="J10" i="126" s="1"/>
  <c r="L10" i="126" s="1"/>
  <c r="U10" i="126" s="1"/>
  <c r="D10" i="127"/>
  <c r="E10" i="127" s="1"/>
  <c r="H10" i="127" s="1"/>
  <c r="I10" i="127" s="1"/>
  <c r="J10" i="127" s="1"/>
  <c r="L10" i="127" s="1"/>
  <c r="M10" i="127" s="1"/>
  <c r="V10" i="127" s="1"/>
  <c r="D10" i="120"/>
  <c r="E10" i="120" s="1"/>
  <c r="H10" i="120" s="1"/>
  <c r="D10" i="128"/>
  <c r="E10" i="128" s="1"/>
  <c r="H10" i="128" s="1"/>
  <c r="I10" i="128" s="1"/>
  <c r="J10" i="128" s="1"/>
  <c r="L10" i="128" s="1"/>
  <c r="M10" i="128" s="1"/>
  <c r="V10" i="128" s="1"/>
  <c r="D10" i="131"/>
  <c r="E10" i="131" s="1"/>
  <c r="H10" i="131" s="1"/>
  <c r="I10" i="131" s="1"/>
  <c r="J10" i="131" s="1"/>
  <c r="L10" i="131" s="1"/>
  <c r="AW45" i="1"/>
  <c r="BA45" i="1"/>
  <c r="C44" i="33"/>
  <c r="AP45" i="1"/>
  <c r="C30" i="33"/>
  <c r="AP31" i="1"/>
  <c r="BA31" i="1"/>
  <c r="AW31" i="1"/>
  <c r="BA21" i="1"/>
  <c r="C20" i="33"/>
  <c r="AW21" i="1"/>
  <c r="AP21" i="1"/>
  <c r="BA11" i="1"/>
  <c r="C10" i="33"/>
  <c r="AP11" i="1"/>
  <c r="AW11" i="1"/>
  <c r="D52" i="116"/>
  <c r="E52" i="116" s="1"/>
  <c r="H52" i="116" s="1"/>
  <c r="D49" i="80"/>
  <c r="E49" i="80" s="1"/>
  <c r="H49" i="80" s="1"/>
  <c r="J49" i="80" s="1"/>
  <c r="K49" i="80" s="1"/>
  <c r="M49" i="80" s="1"/>
  <c r="D33" i="46"/>
  <c r="E33" i="46" s="1"/>
  <c r="D52" i="127"/>
  <c r="E52" i="127" s="1"/>
  <c r="H52" i="127" s="1"/>
  <c r="I52" i="127" s="1"/>
  <c r="J52" i="127" s="1"/>
  <c r="L52" i="127" s="1"/>
  <c r="D49" i="76"/>
  <c r="E49" i="76" s="1"/>
  <c r="H49" i="76" s="1"/>
  <c r="J49" i="76" s="1"/>
  <c r="K49" i="76" s="1"/>
  <c r="M49" i="76" s="1"/>
  <c r="D52" i="126"/>
  <c r="E52" i="126" s="1"/>
  <c r="H52" i="126" s="1"/>
  <c r="I52" i="126" s="1"/>
  <c r="J52" i="126" s="1"/>
  <c r="L52" i="126" s="1"/>
  <c r="D52" i="129"/>
  <c r="E52" i="129" s="1"/>
  <c r="H52" i="129" s="1"/>
  <c r="I52" i="129" s="1"/>
  <c r="J52" i="129" s="1"/>
  <c r="L52" i="129" s="1"/>
  <c r="D35" i="46"/>
  <c r="E35" i="46" s="1"/>
  <c r="H35" i="46" s="1"/>
  <c r="D52" i="117"/>
  <c r="E52" i="117" s="1"/>
  <c r="H52" i="117" s="1"/>
  <c r="D52" i="115"/>
  <c r="E52" i="115" s="1"/>
  <c r="H52" i="115" s="1"/>
  <c r="D52" i="118"/>
  <c r="E52" i="118" s="1"/>
  <c r="H52" i="118" s="1"/>
  <c r="D52" i="114"/>
  <c r="E52" i="114" s="1"/>
  <c r="H52" i="114" s="1"/>
  <c r="D52" i="131"/>
  <c r="E52" i="131" s="1"/>
  <c r="H52" i="131" s="1"/>
  <c r="I52" i="131" s="1"/>
  <c r="J52" i="131" s="1"/>
  <c r="L52" i="131" s="1"/>
  <c r="D52" i="113"/>
  <c r="E52" i="113" s="1"/>
  <c r="H52" i="113" s="1"/>
  <c r="D52" i="128"/>
  <c r="E52" i="128" s="1"/>
  <c r="H52" i="128" s="1"/>
  <c r="I52" i="128" s="1"/>
  <c r="J52" i="128" s="1"/>
  <c r="L52" i="128" s="1"/>
  <c r="D52" i="119"/>
  <c r="E52" i="119" s="1"/>
  <c r="H52" i="119" s="1"/>
  <c r="D52" i="125"/>
  <c r="E52" i="125" s="1"/>
  <c r="H52" i="125" s="1"/>
  <c r="I52" i="125" s="1"/>
  <c r="J52" i="125" s="1"/>
  <c r="L52" i="125" s="1"/>
  <c r="D52" i="120"/>
  <c r="E52" i="120" s="1"/>
  <c r="H52" i="120" s="1"/>
  <c r="D30" i="115"/>
  <c r="E30" i="115" s="1"/>
  <c r="H30" i="115" s="1"/>
  <c r="D30" i="114"/>
  <c r="E30" i="114" s="1"/>
  <c r="H30" i="114" s="1"/>
  <c r="D30" i="119"/>
  <c r="E30" i="119" s="1"/>
  <c r="H30" i="119" s="1"/>
  <c r="D30" i="120"/>
  <c r="E30" i="120" s="1"/>
  <c r="H30" i="120" s="1"/>
  <c r="D30" i="118"/>
  <c r="E30" i="118" s="1"/>
  <c r="H30" i="118" s="1"/>
  <c r="D30" i="117"/>
  <c r="E30" i="117" s="1"/>
  <c r="H30" i="117" s="1"/>
  <c r="D30" i="131"/>
  <c r="E30" i="131" s="1"/>
  <c r="H30" i="131" s="1"/>
  <c r="I30" i="131" s="1"/>
  <c r="J30" i="131" s="1"/>
  <c r="L30" i="131" s="1"/>
  <c r="D30" i="113"/>
  <c r="E30" i="113" s="1"/>
  <c r="H30" i="113" s="1"/>
  <c r="D30" i="128"/>
  <c r="E30" i="128" s="1"/>
  <c r="H30" i="128" s="1"/>
  <c r="I30" i="128" s="1"/>
  <c r="J30" i="128" s="1"/>
  <c r="L30" i="128" s="1"/>
  <c r="D30" i="129"/>
  <c r="E30" i="129" s="1"/>
  <c r="H30" i="129" s="1"/>
  <c r="I30" i="129" s="1"/>
  <c r="J30" i="129" s="1"/>
  <c r="L30" i="129" s="1"/>
  <c r="D30" i="116"/>
  <c r="E30" i="116" s="1"/>
  <c r="H30" i="116" s="1"/>
  <c r="D30" i="127"/>
  <c r="E30" i="127" s="1"/>
  <c r="H30" i="127" s="1"/>
  <c r="I30" i="127" s="1"/>
  <c r="J30" i="127" s="1"/>
  <c r="L30" i="127" s="1"/>
  <c r="D27" i="76"/>
  <c r="E27" i="76" s="1"/>
  <c r="H27" i="76" s="1"/>
  <c r="J27" i="76" s="1"/>
  <c r="K27" i="76" s="1"/>
  <c r="M27" i="76" s="1"/>
  <c r="D30" i="126"/>
  <c r="E30" i="126" s="1"/>
  <c r="H30" i="126" s="1"/>
  <c r="I30" i="126" s="1"/>
  <c r="J30" i="126" s="1"/>
  <c r="L30" i="126" s="1"/>
  <c r="D27" i="80"/>
  <c r="E27" i="80" s="1"/>
  <c r="H27" i="80" s="1"/>
  <c r="J27" i="80" s="1"/>
  <c r="K27" i="80" s="1"/>
  <c r="M27" i="80" s="1"/>
  <c r="D30" i="125"/>
  <c r="E30" i="125" s="1"/>
  <c r="H30" i="125" s="1"/>
  <c r="I30" i="125" s="1"/>
  <c r="J30" i="125" s="1"/>
  <c r="L30" i="125" s="1"/>
  <c r="M49" i="129"/>
  <c r="V49" i="129" s="1"/>
  <c r="M13" i="127"/>
  <c r="V13" i="127" s="1"/>
  <c r="M23" i="127"/>
  <c r="V23" i="127" s="1"/>
  <c r="M69" i="127"/>
  <c r="V69" i="127" s="1"/>
  <c r="U49" i="126"/>
  <c r="M38" i="128"/>
  <c r="V38" i="128" s="1"/>
  <c r="D19" i="117"/>
  <c r="E19" i="117" s="1"/>
  <c r="H19" i="117" s="1"/>
  <c r="I19" i="117" s="1"/>
  <c r="J19" i="117" s="1"/>
  <c r="L19" i="117" s="1"/>
  <c r="D19" i="128"/>
  <c r="E19" i="128" s="1"/>
  <c r="H19" i="128" s="1"/>
  <c r="I19" i="128" s="1"/>
  <c r="J19" i="128" s="1"/>
  <c r="L19" i="128" s="1"/>
  <c r="M19" i="128" s="1"/>
  <c r="V19" i="128" s="1"/>
  <c r="D19" i="115"/>
  <c r="E19" i="115" s="1"/>
  <c r="H19" i="115" s="1"/>
  <c r="I19" i="115" s="1"/>
  <c r="J19" i="115" s="1"/>
  <c r="L19" i="115" s="1"/>
  <c r="C52" i="33"/>
  <c r="BA53" i="1"/>
  <c r="AP53" i="1"/>
  <c r="AW53" i="1"/>
  <c r="M40" i="131"/>
  <c r="V40" i="131" s="1"/>
  <c r="U40" i="131"/>
  <c r="U40" i="125"/>
  <c r="M40" i="125"/>
  <c r="V40" i="125" s="1"/>
  <c r="D57" i="117"/>
  <c r="E57" i="117" s="1"/>
  <c r="H57" i="117" s="1"/>
  <c r="D57" i="115"/>
  <c r="E57" i="115" s="1"/>
  <c r="H57" i="115" s="1"/>
  <c r="D57" i="116"/>
  <c r="E57" i="116" s="1"/>
  <c r="H57" i="116" s="1"/>
  <c r="D57" i="120"/>
  <c r="E57" i="120" s="1"/>
  <c r="H57" i="120" s="1"/>
  <c r="D57" i="113"/>
  <c r="E57" i="113" s="1"/>
  <c r="H57" i="113" s="1"/>
  <c r="D57" i="119"/>
  <c r="E57" i="119" s="1"/>
  <c r="H57" i="119" s="1"/>
  <c r="D57" i="128"/>
  <c r="E57" i="128" s="1"/>
  <c r="H57" i="128" s="1"/>
  <c r="I57" i="128" s="1"/>
  <c r="J57" i="128" s="1"/>
  <c r="L57" i="128" s="1"/>
  <c r="D57" i="126"/>
  <c r="E57" i="126" s="1"/>
  <c r="H57" i="126" s="1"/>
  <c r="I57" i="126" s="1"/>
  <c r="J57" i="126" s="1"/>
  <c r="L57" i="126" s="1"/>
  <c r="D57" i="125"/>
  <c r="E57" i="125" s="1"/>
  <c r="H57" i="125" s="1"/>
  <c r="I57" i="125" s="1"/>
  <c r="J57" i="125" s="1"/>
  <c r="L57" i="125" s="1"/>
  <c r="D57" i="131"/>
  <c r="E57" i="131" s="1"/>
  <c r="H57" i="131" s="1"/>
  <c r="I57" i="131" s="1"/>
  <c r="J57" i="131" s="1"/>
  <c r="L57" i="131" s="1"/>
  <c r="D54" i="76"/>
  <c r="E54" i="76" s="1"/>
  <c r="H54" i="76" s="1"/>
  <c r="J54" i="76" s="1"/>
  <c r="K54" i="76" s="1"/>
  <c r="M54" i="76" s="1"/>
  <c r="D54" i="80"/>
  <c r="E54" i="80" s="1"/>
  <c r="H54" i="80" s="1"/>
  <c r="J54" i="80" s="1"/>
  <c r="K54" i="80" s="1"/>
  <c r="M54" i="80" s="1"/>
  <c r="D57" i="127"/>
  <c r="E57" i="127" s="1"/>
  <c r="H57" i="127" s="1"/>
  <c r="I57" i="127" s="1"/>
  <c r="J57" i="127" s="1"/>
  <c r="L57" i="127" s="1"/>
  <c r="D57" i="118"/>
  <c r="E57" i="118" s="1"/>
  <c r="H57" i="118" s="1"/>
  <c r="D57" i="129"/>
  <c r="E57" i="129" s="1"/>
  <c r="H57" i="129" s="1"/>
  <c r="I57" i="129" s="1"/>
  <c r="J57" i="129" s="1"/>
  <c r="L57" i="129" s="1"/>
  <c r="D57" i="114"/>
  <c r="E57" i="114" s="1"/>
  <c r="H57" i="114" s="1"/>
  <c r="E11" i="137"/>
  <c r="N70" i="33"/>
  <c r="I70" i="117"/>
  <c r="J70" i="117" s="1"/>
  <c r="L70" i="117" s="1"/>
  <c r="J70" i="33"/>
  <c r="I70" i="113"/>
  <c r="J70" i="113" s="1"/>
  <c r="L70" i="113" s="1"/>
  <c r="M70" i="113" s="1"/>
  <c r="P27" i="33"/>
  <c r="I27" i="119"/>
  <c r="J27" i="119" s="1"/>
  <c r="L27" i="119" s="1"/>
  <c r="D66" i="119"/>
  <c r="E66" i="119" s="1"/>
  <c r="H66" i="119" s="1"/>
  <c r="D66" i="127"/>
  <c r="E66" i="127" s="1"/>
  <c r="H66" i="127" s="1"/>
  <c r="I66" i="127" s="1"/>
  <c r="J66" i="127" s="1"/>
  <c r="L66" i="127" s="1"/>
  <c r="D66" i="115"/>
  <c r="E66" i="115" s="1"/>
  <c r="H66" i="115" s="1"/>
  <c r="D66" i="116"/>
  <c r="E66" i="116" s="1"/>
  <c r="H66" i="116" s="1"/>
  <c r="D63" i="80"/>
  <c r="E63" i="80" s="1"/>
  <c r="H63" i="80" s="1"/>
  <c r="J63" i="80" s="1"/>
  <c r="K63" i="80" s="1"/>
  <c r="M63" i="80" s="1"/>
  <c r="D66" i="125"/>
  <c r="E66" i="125" s="1"/>
  <c r="H66" i="125" s="1"/>
  <c r="I66" i="125" s="1"/>
  <c r="J66" i="125" s="1"/>
  <c r="L66" i="125" s="1"/>
  <c r="D66" i="114"/>
  <c r="E66" i="114" s="1"/>
  <c r="H66" i="114" s="1"/>
  <c r="D66" i="118"/>
  <c r="E66" i="118" s="1"/>
  <c r="H66" i="118" s="1"/>
  <c r="D66" i="120"/>
  <c r="E66" i="120" s="1"/>
  <c r="H66" i="120" s="1"/>
  <c r="D66" i="117"/>
  <c r="E66" i="117" s="1"/>
  <c r="H66" i="117" s="1"/>
  <c r="D66" i="126"/>
  <c r="E66" i="126" s="1"/>
  <c r="H66" i="126" s="1"/>
  <c r="I66" i="126" s="1"/>
  <c r="J66" i="126" s="1"/>
  <c r="L66" i="126" s="1"/>
  <c r="D66" i="113"/>
  <c r="E66" i="113" s="1"/>
  <c r="H66" i="113" s="1"/>
  <c r="D66" i="129"/>
  <c r="E66" i="129" s="1"/>
  <c r="H66" i="129" s="1"/>
  <c r="I66" i="129" s="1"/>
  <c r="J66" i="129" s="1"/>
  <c r="L66" i="129" s="1"/>
  <c r="D63" i="76"/>
  <c r="E63" i="76" s="1"/>
  <c r="H63" i="76" s="1"/>
  <c r="J63" i="76" s="1"/>
  <c r="K63" i="76" s="1"/>
  <c r="M63" i="76" s="1"/>
  <c r="D66" i="128"/>
  <c r="E66" i="128" s="1"/>
  <c r="H66" i="128" s="1"/>
  <c r="I66" i="128" s="1"/>
  <c r="J66" i="128" s="1"/>
  <c r="L66" i="128" s="1"/>
  <c r="D66" i="131"/>
  <c r="E66" i="131" s="1"/>
  <c r="H66" i="131" s="1"/>
  <c r="I66" i="131" s="1"/>
  <c r="J66" i="131" s="1"/>
  <c r="L66" i="131" s="1"/>
  <c r="I63" i="80"/>
  <c r="S66" i="33" s="1"/>
  <c r="I63" i="76"/>
  <c r="R66" i="33" s="1"/>
  <c r="AP30" i="1"/>
  <c r="AW30" i="1"/>
  <c r="C29" i="33"/>
  <c r="BA30" i="1"/>
  <c r="D65" i="128"/>
  <c r="E65" i="128" s="1"/>
  <c r="H65" i="128" s="1"/>
  <c r="I65" i="128" s="1"/>
  <c r="J65" i="128" s="1"/>
  <c r="L65" i="128" s="1"/>
  <c r="D65" i="116"/>
  <c r="E65" i="116" s="1"/>
  <c r="H65" i="116" s="1"/>
  <c r="D65" i="125"/>
  <c r="E65" i="125" s="1"/>
  <c r="H65" i="125" s="1"/>
  <c r="I65" i="125" s="1"/>
  <c r="J65" i="125" s="1"/>
  <c r="L65" i="125" s="1"/>
  <c r="D65" i="120"/>
  <c r="E65" i="120" s="1"/>
  <c r="H65" i="120" s="1"/>
  <c r="D65" i="127"/>
  <c r="E65" i="127" s="1"/>
  <c r="H65" i="127" s="1"/>
  <c r="I65" i="127" s="1"/>
  <c r="J65" i="127" s="1"/>
  <c r="L65" i="127" s="1"/>
  <c r="D65" i="114"/>
  <c r="E65" i="114" s="1"/>
  <c r="H65" i="114" s="1"/>
  <c r="D65" i="126"/>
  <c r="E65" i="126" s="1"/>
  <c r="H65" i="126" s="1"/>
  <c r="I65" i="126" s="1"/>
  <c r="J65" i="126" s="1"/>
  <c r="L65" i="126" s="1"/>
  <c r="D62" i="80"/>
  <c r="E62" i="80" s="1"/>
  <c r="H62" i="80" s="1"/>
  <c r="J62" i="80" s="1"/>
  <c r="K62" i="80" s="1"/>
  <c r="M62" i="80" s="1"/>
  <c r="D65" i="119"/>
  <c r="E65" i="119" s="1"/>
  <c r="H65" i="119" s="1"/>
  <c r="D65" i="129"/>
  <c r="E65" i="129" s="1"/>
  <c r="H65" i="129" s="1"/>
  <c r="I65" i="129" s="1"/>
  <c r="J65" i="129" s="1"/>
  <c r="L65" i="129" s="1"/>
  <c r="D65" i="115"/>
  <c r="E65" i="115" s="1"/>
  <c r="H65" i="115" s="1"/>
  <c r="D62" i="76"/>
  <c r="E62" i="76" s="1"/>
  <c r="H62" i="76" s="1"/>
  <c r="J62" i="76" s="1"/>
  <c r="K62" i="76" s="1"/>
  <c r="M62" i="76" s="1"/>
  <c r="D65" i="113"/>
  <c r="E65" i="113" s="1"/>
  <c r="H65" i="113" s="1"/>
  <c r="D65" i="118"/>
  <c r="E65" i="118" s="1"/>
  <c r="H65" i="118" s="1"/>
  <c r="D65" i="117"/>
  <c r="E65" i="117" s="1"/>
  <c r="H65" i="117" s="1"/>
  <c r="D65" i="131"/>
  <c r="E65" i="131" s="1"/>
  <c r="H65" i="131" s="1"/>
  <c r="I65" i="131" s="1"/>
  <c r="J65" i="131" s="1"/>
  <c r="L65" i="131" s="1"/>
  <c r="D69" i="67"/>
  <c r="E69" i="67" s="1"/>
  <c r="F69" i="67" s="1"/>
  <c r="G69" i="67" s="1"/>
  <c r="AC69" i="33"/>
  <c r="AP61" i="1"/>
  <c r="C60" i="33"/>
  <c r="BA61" i="1"/>
  <c r="AW61" i="1"/>
  <c r="AQ61" i="1" s="1"/>
  <c r="U31" i="126"/>
  <c r="M31" i="126"/>
  <c r="V31" i="126" s="1"/>
  <c r="Q31" i="33"/>
  <c r="I31" i="120"/>
  <c r="J31" i="120" s="1"/>
  <c r="L31" i="120" s="1"/>
  <c r="AQ71" i="1"/>
  <c r="AV71" i="1"/>
  <c r="AX71" i="1"/>
  <c r="D13" i="67"/>
  <c r="E13" i="67" s="1"/>
  <c r="F13" i="67" s="1"/>
  <c r="G13" i="67" s="1"/>
  <c r="AC13" i="33"/>
  <c r="D75" i="113"/>
  <c r="E75" i="113" s="1"/>
  <c r="H75" i="113" s="1"/>
  <c r="D75" i="131"/>
  <c r="E75" i="131" s="1"/>
  <c r="H75" i="131" s="1"/>
  <c r="I75" i="131" s="1"/>
  <c r="J75" i="131" s="1"/>
  <c r="L75" i="131" s="1"/>
  <c r="D75" i="129"/>
  <c r="E75" i="129" s="1"/>
  <c r="H75" i="129" s="1"/>
  <c r="I75" i="129" s="1"/>
  <c r="J75" i="129" s="1"/>
  <c r="L75" i="129" s="1"/>
  <c r="D75" i="119"/>
  <c r="E75" i="119" s="1"/>
  <c r="H75" i="119" s="1"/>
  <c r="D75" i="118"/>
  <c r="E75" i="118" s="1"/>
  <c r="H75" i="118" s="1"/>
  <c r="D75" i="126"/>
  <c r="E75" i="126" s="1"/>
  <c r="H75" i="126" s="1"/>
  <c r="I75" i="126" s="1"/>
  <c r="J75" i="126" s="1"/>
  <c r="L75" i="126" s="1"/>
  <c r="D75" i="117"/>
  <c r="E75" i="117" s="1"/>
  <c r="H75" i="117" s="1"/>
  <c r="D75" i="128"/>
  <c r="E75" i="128" s="1"/>
  <c r="H75" i="128" s="1"/>
  <c r="I75" i="128" s="1"/>
  <c r="J75" i="128" s="1"/>
  <c r="L75" i="128" s="1"/>
  <c r="D75" i="115"/>
  <c r="E75" i="115" s="1"/>
  <c r="H75" i="115" s="1"/>
  <c r="D75" i="125"/>
  <c r="E75" i="125" s="1"/>
  <c r="H75" i="125" s="1"/>
  <c r="I75" i="125" s="1"/>
  <c r="J75" i="125" s="1"/>
  <c r="L75" i="125" s="1"/>
  <c r="D75" i="116"/>
  <c r="E75" i="116" s="1"/>
  <c r="H75" i="116" s="1"/>
  <c r="D75" i="127"/>
  <c r="E75" i="127" s="1"/>
  <c r="H75" i="127" s="1"/>
  <c r="I75" i="127" s="1"/>
  <c r="J75" i="127" s="1"/>
  <c r="L75" i="127" s="1"/>
  <c r="D72" i="80"/>
  <c r="E72" i="80" s="1"/>
  <c r="H72" i="80" s="1"/>
  <c r="J72" i="80" s="1"/>
  <c r="K72" i="80" s="1"/>
  <c r="M72" i="80" s="1"/>
  <c r="D75" i="114"/>
  <c r="E75" i="114" s="1"/>
  <c r="H75" i="114" s="1"/>
  <c r="D75" i="120"/>
  <c r="E75" i="120" s="1"/>
  <c r="H75" i="120" s="1"/>
  <c r="D72" i="76"/>
  <c r="E72" i="76" s="1"/>
  <c r="H72" i="76" s="1"/>
  <c r="J72" i="76" s="1"/>
  <c r="K72" i="76" s="1"/>
  <c r="M72" i="76" s="1"/>
  <c r="I72" i="80"/>
  <c r="S75" i="33" s="1"/>
  <c r="D50" i="113"/>
  <c r="E50" i="113" s="1"/>
  <c r="H50" i="113" s="1"/>
  <c r="D50" i="125"/>
  <c r="E50" i="125" s="1"/>
  <c r="H50" i="125" s="1"/>
  <c r="I50" i="125" s="1"/>
  <c r="J50" i="125" s="1"/>
  <c r="L50" i="125" s="1"/>
  <c r="U50" i="125" s="1"/>
  <c r="D47" i="80"/>
  <c r="E47" i="80" s="1"/>
  <c r="H47" i="80" s="1"/>
  <c r="J47" i="80" s="1"/>
  <c r="K47" i="80" s="1"/>
  <c r="M47" i="80" s="1"/>
  <c r="V47" i="80" s="1"/>
  <c r="D50" i="131"/>
  <c r="E50" i="131" s="1"/>
  <c r="H50" i="131" s="1"/>
  <c r="I50" i="131" s="1"/>
  <c r="J50" i="131" s="1"/>
  <c r="L50" i="131" s="1"/>
  <c r="M50" i="131" s="1"/>
  <c r="V50" i="131" s="1"/>
  <c r="D50" i="114"/>
  <c r="E50" i="114" s="1"/>
  <c r="H50" i="114" s="1"/>
  <c r="D47" i="76"/>
  <c r="E47" i="76" s="1"/>
  <c r="H47" i="76" s="1"/>
  <c r="J47" i="76" s="1"/>
  <c r="K47" i="76" s="1"/>
  <c r="M47" i="76" s="1"/>
  <c r="V47" i="76" s="1"/>
  <c r="D50" i="119"/>
  <c r="E50" i="119" s="1"/>
  <c r="H50" i="119" s="1"/>
  <c r="D50" i="117"/>
  <c r="E50" i="117" s="1"/>
  <c r="H50" i="117" s="1"/>
  <c r="D50" i="126"/>
  <c r="E50" i="126" s="1"/>
  <c r="H50" i="126" s="1"/>
  <c r="I50" i="126" s="1"/>
  <c r="J50" i="126" s="1"/>
  <c r="L50" i="126" s="1"/>
  <c r="D50" i="116"/>
  <c r="E50" i="116" s="1"/>
  <c r="H50" i="116" s="1"/>
  <c r="D50" i="127"/>
  <c r="E50" i="127" s="1"/>
  <c r="H50" i="127" s="1"/>
  <c r="I50" i="127" s="1"/>
  <c r="J50" i="127" s="1"/>
  <c r="L50" i="127" s="1"/>
  <c r="D50" i="128"/>
  <c r="E50" i="128" s="1"/>
  <c r="H50" i="128" s="1"/>
  <c r="I50" i="128" s="1"/>
  <c r="J50" i="128" s="1"/>
  <c r="L50" i="128" s="1"/>
  <c r="D50" i="120"/>
  <c r="E50" i="120" s="1"/>
  <c r="H50" i="120" s="1"/>
  <c r="D50" i="118"/>
  <c r="E50" i="118" s="1"/>
  <c r="H50" i="118" s="1"/>
  <c r="D50" i="115"/>
  <c r="E50" i="115" s="1"/>
  <c r="H50" i="115" s="1"/>
  <c r="D50" i="129"/>
  <c r="E50" i="129" s="1"/>
  <c r="H50" i="129" s="1"/>
  <c r="I50" i="129" s="1"/>
  <c r="J50" i="129" s="1"/>
  <c r="L50" i="129" s="1"/>
  <c r="C47" i="33"/>
  <c r="AP48" i="1"/>
  <c r="BA48" i="1"/>
  <c r="AW48" i="1"/>
  <c r="O64" i="33"/>
  <c r="I64" i="118"/>
  <c r="J64" i="118" s="1"/>
  <c r="L64" i="118" s="1"/>
  <c r="E61" i="80"/>
  <c r="H61" i="80" s="1"/>
  <c r="J61" i="80" s="1"/>
  <c r="K61" i="80" s="1"/>
  <c r="M61" i="80" s="1"/>
  <c r="I61" i="80"/>
  <c r="U64" i="131"/>
  <c r="M64" i="131"/>
  <c r="V64" i="131" s="1"/>
  <c r="E14" i="137"/>
  <c r="H14" i="137" s="1"/>
  <c r="I14" i="137" s="1"/>
  <c r="J14" i="137" s="1"/>
  <c r="M14" i="137" s="1"/>
  <c r="N14" i="137" s="1"/>
  <c r="D48" i="115"/>
  <c r="E48" i="115" s="1"/>
  <c r="H48" i="115" s="1"/>
  <c r="D48" i="120"/>
  <c r="E48" i="120" s="1"/>
  <c r="H48" i="120" s="1"/>
  <c r="D48" i="128"/>
  <c r="E48" i="128" s="1"/>
  <c r="H48" i="128" s="1"/>
  <c r="I48" i="128" s="1"/>
  <c r="J48" i="128" s="1"/>
  <c r="L48" i="128" s="1"/>
  <c r="D48" i="131"/>
  <c r="E48" i="131" s="1"/>
  <c r="H48" i="131" s="1"/>
  <c r="I48" i="131" s="1"/>
  <c r="J48" i="131" s="1"/>
  <c r="L48" i="131" s="1"/>
  <c r="D48" i="117"/>
  <c r="E48" i="117" s="1"/>
  <c r="H48" i="117" s="1"/>
  <c r="D48" i="119"/>
  <c r="E48" i="119" s="1"/>
  <c r="H48" i="119" s="1"/>
  <c r="D48" i="113"/>
  <c r="E48" i="113" s="1"/>
  <c r="H48" i="113" s="1"/>
  <c r="D45" i="76"/>
  <c r="E45" i="76" s="1"/>
  <c r="H45" i="76" s="1"/>
  <c r="J45" i="76" s="1"/>
  <c r="K45" i="76" s="1"/>
  <c r="M45" i="76" s="1"/>
  <c r="D48" i="126"/>
  <c r="E48" i="126" s="1"/>
  <c r="H48" i="126" s="1"/>
  <c r="I48" i="126" s="1"/>
  <c r="J48" i="126" s="1"/>
  <c r="L48" i="126" s="1"/>
  <c r="D48" i="118"/>
  <c r="E48" i="118" s="1"/>
  <c r="H48" i="118" s="1"/>
  <c r="D48" i="116"/>
  <c r="E48" i="116" s="1"/>
  <c r="H48" i="116" s="1"/>
  <c r="D48" i="114"/>
  <c r="E48" i="114" s="1"/>
  <c r="H48" i="114" s="1"/>
  <c r="D48" i="127"/>
  <c r="E48" i="127" s="1"/>
  <c r="H48" i="127" s="1"/>
  <c r="I48" i="127" s="1"/>
  <c r="J48" i="127" s="1"/>
  <c r="L48" i="127" s="1"/>
  <c r="D48" i="129"/>
  <c r="E48" i="129" s="1"/>
  <c r="H48" i="129" s="1"/>
  <c r="I48" i="129" s="1"/>
  <c r="J48" i="129" s="1"/>
  <c r="L48" i="129" s="1"/>
  <c r="D48" i="125"/>
  <c r="E48" i="125" s="1"/>
  <c r="H48" i="125" s="1"/>
  <c r="I48" i="125" s="1"/>
  <c r="J48" i="125" s="1"/>
  <c r="L48" i="125" s="1"/>
  <c r="D45" i="80"/>
  <c r="E45" i="80" s="1"/>
  <c r="H45" i="80" s="1"/>
  <c r="J45" i="80" s="1"/>
  <c r="K45" i="80" s="1"/>
  <c r="M45" i="80" s="1"/>
  <c r="J52" i="76"/>
  <c r="K52" i="76" s="1"/>
  <c r="M52" i="76" s="1"/>
  <c r="R55" i="33"/>
  <c r="L55" i="33"/>
  <c r="I55" i="115"/>
  <c r="J55" i="115" s="1"/>
  <c r="L55" i="115" s="1"/>
  <c r="M55" i="126"/>
  <c r="V55" i="126" s="1"/>
  <c r="U55" i="126"/>
  <c r="M55" i="127"/>
  <c r="V55" i="127" s="1"/>
  <c r="U55" i="127"/>
  <c r="P38" i="33"/>
  <c r="I38" i="119"/>
  <c r="J38" i="119" s="1"/>
  <c r="L38" i="119" s="1"/>
  <c r="J38" i="33"/>
  <c r="I38" i="113"/>
  <c r="J38" i="113" s="1"/>
  <c r="L38" i="113" s="1"/>
  <c r="M38" i="113" s="1"/>
  <c r="M38" i="127"/>
  <c r="V38" i="127" s="1"/>
  <c r="U38" i="127"/>
  <c r="I49" i="117"/>
  <c r="J49" i="117" s="1"/>
  <c r="L49" i="117" s="1"/>
  <c r="N49" i="33"/>
  <c r="J49" i="33"/>
  <c r="I49" i="113"/>
  <c r="J49" i="113" s="1"/>
  <c r="L49" i="113" s="1"/>
  <c r="M49" i="113" s="1"/>
  <c r="M49" i="127"/>
  <c r="V49" i="127" s="1"/>
  <c r="U49" i="127"/>
  <c r="I49" i="118"/>
  <c r="J49" i="118" s="1"/>
  <c r="L49" i="118" s="1"/>
  <c r="O49" i="33"/>
  <c r="AV40" i="1"/>
  <c r="D68" i="127"/>
  <c r="E68" i="127" s="1"/>
  <c r="H68" i="127" s="1"/>
  <c r="I68" i="127" s="1"/>
  <c r="J68" i="127" s="1"/>
  <c r="L68" i="127" s="1"/>
  <c r="D68" i="120"/>
  <c r="E68" i="120" s="1"/>
  <c r="H68" i="120" s="1"/>
  <c r="D68" i="129"/>
  <c r="E68" i="129" s="1"/>
  <c r="H68" i="129" s="1"/>
  <c r="I68" i="129" s="1"/>
  <c r="J68" i="129" s="1"/>
  <c r="L68" i="129" s="1"/>
  <c r="D68" i="116"/>
  <c r="E68" i="116" s="1"/>
  <c r="H68" i="116" s="1"/>
  <c r="D68" i="115"/>
  <c r="E68" i="115" s="1"/>
  <c r="H68" i="115" s="1"/>
  <c r="D68" i="113"/>
  <c r="E68" i="113" s="1"/>
  <c r="H68" i="113" s="1"/>
  <c r="D68" i="117"/>
  <c r="E68" i="117" s="1"/>
  <c r="H68" i="117" s="1"/>
  <c r="D68" i="126"/>
  <c r="E68" i="126" s="1"/>
  <c r="H68" i="126" s="1"/>
  <c r="I68" i="126" s="1"/>
  <c r="J68" i="126" s="1"/>
  <c r="L68" i="126" s="1"/>
  <c r="D68" i="131"/>
  <c r="E68" i="131" s="1"/>
  <c r="H68" i="131" s="1"/>
  <c r="I68" i="131" s="1"/>
  <c r="J68" i="131" s="1"/>
  <c r="L68" i="131" s="1"/>
  <c r="D65" i="80"/>
  <c r="E65" i="80" s="1"/>
  <c r="H65" i="80" s="1"/>
  <c r="J65" i="80" s="1"/>
  <c r="K65" i="80" s="1"/>
  <c r="M65" i="80" s="1"/>
  <c r="D68" i="125"/>
  <c r="E68" i="125" s="1"/>
  <c r="H68" i="125" s="1"/>
  <c r="I68" i="125" s="1"/>
  <c r="J68" i="125" s="1"/>
  <c r="L68" i="125" s="1"/>
  <c r="D68" i="118"/>
  <c r="E68" i="118" s="1"/>
  <c r="H68" i="118" s="1"/>
  <c r="D68" i="119"/>
  <c r="E68" i="119" s="1"/>
  <c r="H68" i="119" s="1"/>
  <c r="D68" i="128"/>
  <c r="E68" i="128" s="1"/>
  <c r="H68" i="128" s="1"/>
  <c r="I68" i="128" s="1"/>
  <c r="J68" i="128" s="1"/>
  <c r="L68" i="128" s="1"/>
  <c r="D68" i="114"/>
  <c r="E68" i="114" s="1"/>
  <c r="H68" i="114" s="1"/>
  <c r="D65" i="76"/>
  <c r="E65" i="76" s="1"/>
  <c r="H65" i="76" s="1"/>
  <c r="J65" i="76" s="1"/>
  <c r="K65" i="76" s="1"/>
  <c r="M65" i="76" s="1"/>
  <c r="I53" i="113"/>
  <c r="J53" i="113" s="1"/>
  <c r="L53" i="113" s="1"/>
  <c r="M53" i="113" s="1"/>
  <c r="J53" i="33"/>
  <c r="AP9" i="1"/>
  <c r="AW9" i="1"/>
  <c r="C8" i="33"/>
  <c r="BA9" i="1"/>
  <c r="AV28" i="1"/>
  <c r="AQ28" i="1"/>
  <c r="AX28" i="1"/>
  <c r="I69" i="114"/>
  <c r="J69" i="114" s="1"/>
  <c r="L69" i="114" s="1"/>
  <c r="K69" i="33"/>
  <c r="E66" i="76"/>
  <c r="H66" i="76" s="1"/>
  <c r="J66" i="76" s="1"/>
  <c r="K66" i="76" s="1"/>
  <c r="M66" i="76" s="1"/>
  <c r="I66" i="76"/>
  <c r="I69" i="119"/>
  <c r="J69" i="119" s="1"/>
  <c r="L69" i="119" s="1"/>
  <c r="P69" i="33"/>
  <c r="I69" i="117"/>
  <c r="J69" i="117" s="1"/>
  <c r="L69" i="117" s="1"/>
  <c r="N69" i="33"/>
  <c r="I40" i="119"/>
  <c r="J40" i="119" s="1"/>
  <c r="L40" i="119" s="1"/>
  <c r="P40" i="33"/>
  <c r="O40" i="33"/>
  <c r="I40" i="118"/>
  <c r="J40" i="118" s="1"/>
  <c r="L40" i="118" s="1"/>
  <c r="M70" i="128"/>
  <c r="V70" i="128" s="1"/>
  <c r="U70" i="128"/>
  <c r="AP34" i="1"/>
  <c r="C33" i="33"/>
  <c r="AW34" i="1"/>
  <c r="BA34" i="1"/>
  <c r="AQ39" i="1"/>
  <c r="AX39" i="1"/>
  <c r="AV39" i="1"/>
  <c r="AW17" i="1"/>
  <c r="AP17" i="1"/>
  <c r="BA17" i="1"/>
  <c r="C16" i="33"/>
  <c r="M70" i="129"/>
  <c r="V70" i="129" s="1"/>
  <c r="M23" i="126"/>
  <c r="V23" i="126" s="1"/>
  <c r="U23" i="126"/>
  <c r="I31" i="114"/>
  <c r="J31" i="114" s="1"/>
  <c r="L31" i="114" s="1"/>
  <c r="K31" i="33"/>
  <c r="D70" i="67"/>
  <c r="E70" i="67" s="1"/>
  <c r="F70" i="67" s="1"/>
  <c r="G70" i="67" s="1"/>
  <c r="AC70" i="33"/>
  <c r="AP68" i="1"/>
  <c r="BA68" i="1"/>
  <c r="C67" i="33"/>
  <c r="AW68" i="1"/>
  <c r="AP27" i="1"/>
  <c r="BA27" i="1"/>
  <c r="C26" i="33"/>
  <c r="AW27" i="1"/>
  <c r="I40" i="114"/>
  <c r="J40" i="114" s="1"/>
  <c r="L40" i="114" s="1"/>
  <c r="K40" i="33"/>
  <c r="I40" i="116"/>
  <c r="J40" i="116" s="1"/>
  <c r="L40" i="116" s="1"/>
  <c r="M40" i="33"/>
  <c r="I70" i="120"/>
  <c r="J70" i="120" s="1"/>
  <c r="L70" i="120" s="1"/>
  <c r="Q70" i="33"/>
  <c r="I70" i="119"/>
  <c r="J70" i="119" s="1"/>
  <c r="L70" i="119" s="1"/>
  <c r="P70" i="33"/>
  <c r="M55" i="128"/>
  <c r="V55" i="128" s="1"/>
  <c r="U55" i="128"/>
  <c r="M55" i="131"/>
  <c r="V55" i="131" s="1"/>
  <c r="U55" i="131"/>
  <c r="M38" i="126"/>
  <c r="V38" i="126" s="1"/>
  <c r="U38" i="126"/>
  <c r="L13" i="33"/>
  <c r="I13" i="115"/>
  <c r="J13" i="115" s="1"/>
  <c r="L13" i="115" s="1"/>
  <c r="Q49" i="33"/>
  <c r="I49" i="120"/>
  <c r="J49" i="120" s="1"/>
  <c r="L49" i="120" s="1"/>
  <c r="AW18" i="1"/>
  <c r="C17" i="33"/>
  <c r="AP18" i="1"/>
  <c r="BA18" i="1"/>
  <c r="I69" i="118"/>
  <c r="J69" i="118" s="1"/>
  <c r="L69" i="118" s="1"/>
  <c r="O69" i="33"/>
  <c r="C9" i="33"/>
  <c r="BA10" i="1"/>
  <c r="AP10" i="1"/>
  <c r="AW10" i="1"/>
  <c r="BA49" i="1"/>
  <c r="AW49" i="1"/>
  <c r="AP49" i="1"/>
  <c r="C48" i="33"/>
  <c r="AC38" i="33"/>
  <c r="D38" i="67"/>
  <c r="E38" i="67" s="1"/>
  <c r="F38" i="67" s="1"/>
  <c r="G38" i="67" s="1"/>
  <c r="D41" i="113"/>
  <c r="E41" i="113" s="1"/>
  <c r="H41" i="113" s="1"/>
  <c r="D41" i="125"/>
  <c r="E41" i="125" s="1"/>
  <c r="H41" i="125" s="1"/>
  <c r="I41" i="125" s="1"/>
  <c r="J41" i="125" s="1"/>
  <c r="L41" i="125" s="1"/>
  <c r="D41" i="117"/>
  <c r="E41" i="117" s="1"/>
  <c r="H41" i="117" s="1"/>
  <c r="D41" i="131"/>
  <c r="E41" i="131" s="1"/>
  <c r="H41" i="131" s="1"/>
  <c r="I41" i="131" s="1"/>
  <c r="J41" i="131" s="1"/>
  <c r="L41" i="131" s="1"/>
  <c r="D41" i="118"/>
  <c r="E41" i="118" s="1"/>
  <c r="H41" i="118" s="1"/>
  <c r="D41" i="129"/>
  <c r="E41" i="129" s="1"/>
  <c r="H41" i="129" s="1"/>
  <c r="I41" i="129" s="1"/>
  <c r="J41" i="129" s="1"/>
  <c r="L41" i="129" s="1"/>
  <c r="D41" i="114"/>
  <c r="E41" i="114" s="1"/>
  <c r="H41" i="114" s="1"/>
  <c r="D41" i="116"/>
  <c r="E41" i="116" s="1"/>
  <c r="H41" i="116" s="1"/>
  <c r="D41" i="126"/>
  <c r="E41" i="126" s="1"/>
  <c r="H41" i="126" s="1"/>
  <c r="I41" i="126" s="1"/>
  <c r="J41" i="126" s="1"/>
  <c r="L41" i="126" s="1"/>
  <c r="D41" i="115"/>
  <c r="E41" i="115" s="1"/>
  <c r="H41" i="115" s="1"/>
  <c r="D38" i="76"/>
  <c r="D38" i="80"/>
  <c r="D41" i="120"/>
  <c r="E41" i="120" s="1"/>
  <c r="H41" i="120" s="1"/>
  <c r="D41" i="128"/>
  <c r="E41" i="128" s="1"/>
  <c r="H41" i="128" s="1"/>
  <c r="I41" i="128" s="1"/>
  <c r="J41" i="128" s="1"/>
  <c r="L41" i="128" s="1"/>
  <c r="D41" i="119"/>
  <c r="E41" i="119" s="1"/>
  <c r="H41" i="119" s="1"/>
  <c r="D41" i="127"/>
  <c r="E41" i="127" s="1"/>
  <c r="H41" i="127" s="1"/>
  <c r="I41" i="127" s="1"/>
  <c r="J41" i="127" s="1"/>
  <c r="L41" i="127" s="1"/>
  <c r="E13" i="137"/>
  <c r="H13" i="137" s="1"/>
  <c r="I13" i="137" s="1"/>
  <c r="J13" i="137" s="1"/>
  <c r="M13" i="137" s="1"/>
  <c r="N13" i="137" s="1"/>
  <c r="D11" i="120"/>
  <c r="E11" i="120" s="1"/>
  <c r="H11" i="120" s="1"/>
  <c r="D11" i="128"/>
  <c r="E11" i="128" s="1"/>
  <c r="H11" i="128" s="1"/>
  <c r="I11" i="128" s="1"/>
  <c r="J11" i="128" s="1"/>
  <c r="L11" i="128" s="1"/>
  <c r="D11" i="118"/>
  <c r="E11" i="118" s="1"/>
  <c r="H11" i="118" s="1"/>
  <c r="D11" i="125"/>
  <c r="E11" i="125" s="1"/>
  <c r="H11" i="125" s="1"/>
  <c r="I11" i="125" s="1"/>
  <c r="J11" i="125" s="1"/>
  <c r="L11" i="125" s="1"/>
  <c r="D11" i="113"/>
  <c r="E11" i="113" s="1"/>
  <c r="H11" i="113" s="1"/>
  <c r="D11" i="131"/>
  <c r="E11" i="131" s="1"/>
  <c r="H11" i="131" s="1"/>
  <c r="I11" i="131" s="1"/>
  <c r="J11" i="131" s="1"/>
  <c r="L11" i="131" s="1"/>
  <c r="D8" i="76"/>
  <c r="E8" i="76" s="1"/>
  <c r="H8" i="76" s="1"/>
  <c r="D11" i="129"/>
  <c r="E11" i="129" s="1"/>
  <c r="H11" i="129" s="1"/>
  <c r="I11" i="129" s="1"/>
  <c r="J11" i="129" s="1"/>
  <c r="L11" i="129" s="1"/>
  <c r="D8" i="80"/>
  <c r="E8" i="80" s="1"/>
  <c r="H8" i="80" s="1"/>
  <c r="D11" i="126"/>
  <c r="E11" i="126" s="1"/>
  <c r="H11" i="126" s="1"/>
  <c r="I11" i="126" s="1"/>
  <c r="J11" i="126" s="1"/>
  <c r="L11" i="126" s="1"/>
  <c r="D11" i="117"/>
  <c r="E11" i="117" s="1"/>
  <c r="H11" i="117" s="1"/>
  <c r="D11" i="119"/>
  <c r="E11" i="119" s="1"/>
  <c r="H11" i="119" s="1"/>
  <c r="D11" i="127"/>
  <c r="E11" i="127" s="1"/>
  <c r="H11" i="127" s="1"/>
  <c r="I11" i="127" s="1"/>
  <c r="J11" i="127" s="1"/>
  <c r="L11" i="127" s="1"/>
  <c r="D11" i="115"/>
  <c r="E11" i="115" s="1"/>
  <c r="H11" i="115" s="1"/>
  <c r="D11" i="116"/>
  <c r="E11" i="116" s="1"/>
  <c r="H11" i="116" s="1"/>
  <c r="D11" i="114"/>
  <c r="E11" i="114" s="1"/>
  <c r="H11" i="114" s="1"/>
  <c r="I8" i="80"/>
  <c r="D32" i="126"/>
  <c r="E32" i="126" s="1"/>
  <c r="H32" i="126" s="1"/>
  <c r="I32" i="126" s="1"/>
  <c r="J32" i="126" s="1"/>
  <c r="L32" i="126" s="1"/>
  <c r="D32" i="120"/>
  <c r="E32" i="120" s="1"/>
  <c r="H32" i="120" s="1"/>
  <c r="D29" i="76"/>
  <c r="E29" i="76" s="1"/>
  <c r="H29" i="76" s="1"/>
  <c r="J29" i="76" s="1"/>
  <c r="K29" i="76" s="1"/>
  <c r="M29" i="76" s="1"/>
  <c r="D32" i="131"/>
  <c r="E32" i="131" s="1"/>
  <c r="H32" i="131" s="1"/>
  <c r="I32" i="131" s="1"/>
  <c r="J32" i="131" s="1"/>
  <c r="L32" i="131" s="1"/>
  <c r="D32" i="114"/>
  <c r="E32" i="114" s="1"/>
  <c r="H32" i="114" s="1"/>
  <c r="D32" i="115"/>
  <c r="E32" i="115" s="1"/>
  <c r="H32" i="115" s="1"/>
  <c r="D32" i="117"/>
  <c r="E32" i="117" s="1"/>
  <c r="H32" i="117" s="1"/>
  <c r="D32" i="118"/>
  <c r="E32" i="118" s="1"/>
  <c r="H32" i="118" s="1"/>
  <c r="D32" i="129"/>
  <c r="E32" i="129" s="1"/>
  <c r="H32" i="129" s="1"/>
  <c r="I32" i="129" s="1"/>
  <c r="J32" i="129" s="1"/>
  <c r="L32" i="129" s="1"/>
  <c r="D32" i="127"/>
  <c r="E32" i="127" s="1"/>
  <c r="H32" i="127" s="1"/>
  <c r="I32" i="127" s="1"/>
  <c r="J32" i="127" s="1"/>
  <c r="L32" i="127" s="1"/>
  <c r="D32" i="125"/>
  <c r="E32" i="125" s="1"/>
  <c r="H32" i="125" s="1"/>
  <c r="I32" i="125" s="1"/>
  <c r="J32" i="125" s="1"/>
  <c r="L32" i="125" s="1"/>
  <c r="D32" i="113"/>
  <c r="E32" i="113" s="1"/>
  <c r="H32" i="113" s="1"/>
  <c r="D32" i="119"/>
  <c r="E32" i="119" s="1"/>
  <c r="H32" i="119" s="1"/>
  <c r="D32" i="128"/>
  <c r="E32" i="128" s="1"/>
  <c r="H32" i="128" s="1"/>
  <c r="I32" i="128" s="1"/>
  <c r="J32" i="128" s="1"/>
  <c r="L32" i="128" s="1"/>
  <c r="D32" i="116"/>
  <c r="E32" i="116" s="1"/>
  <c r="H32" i="116" s="1"/>
  <c r="D29" i="80"/>
  <c r="E29" i="80" s="1"/>
  <c r="H29" i="80" s="1"/>
  <c r="AW66" i="1"/>
  <c r="BA66" i="1"/>
  <c r="C65" i="33"/>
  <c r="AP66" i="1"/>
  <c r="N61" i="76"/>
  <c r="W61" i="76" s="1"/>
  <c r="U70" i="131"/>
  <c r="D54" i="131"/>
  <c r="E54" i="131" s="1"/>
  <c r="H54" i="131" s="1"/>
  <c r="I54" i="131" s="1"/>
  <c r="J54" i="131" s="1"/>
  <c r="L54" i="131" s="1"/>
  <c r="D51" i="80"/>
  <c r="E51" i="80" s="1"/>
  <c r="H51" i="80" s="1"/>
  <c r="J51" i="80" s="1"/>
  <c r="K51" i="80" s="1"/>
  <c r="M51" i="80" s="1"/>
  <c r="D54" i="120"/>
  <c r="E54" i="120" s="1"/>
  <c r="H54" i="120" s="1"/>
  <c r="D54" i="114"/>
  <c r="E54" i="114" s="1"/>
  <c r="H54" i="114" s="1"/>
  <c r="D54" i="128"/>
  <c r="E54" i="128" s="1"/>
  <c r="H54" i="128" s="1"/>
  <c r="I54" i="128" s="1"/>
  <c r="J54" i="128" s="1"/>
  <c r="L54" i="128" s="1"/>
  <c r="D54" i="127"/>
  <c r="E54" i="127" s="1"/>
  <c r="H54" i="127" s="1"/>
  <c r="I54" i="127" s="1"/>
  <c r="J54" i="127" s="1"/>
  <c r="L54" i="127" s="1"/>
  <c r="D54" i="117"/>
  <c r="E54" i="117" s="1"/>
  <c r="H54" i="117" s="1"/>
  <c r="D54" i="113"/>
  <c r="E54" i="113" s="1"/>
  <c r="H54" i="113" s="1"/>
  <c r="D54" i="118"/>
  <c r="E54" i="118" s="1"/>
  <c r="H54" i="118" s="1"/>
  <c r="D54" i="126"/>
  <c r="E54" i="126" s="1"/>
  <c r="H54" i="126" s="1"/>
  <c r="I54" i="126" s="1"/>
  <c r="J54" i="126" s="1"/>
  <c r="L54" i="126" s="1"/>
  <c r="D54" i="119"/>
  <c r="E54" i="119" s="1"/>
  <c r="H54" i="119" s="1"/>
  <c r="D54" i="129"/>
  <c r="E54" i="129" s="1"/>
  <c r="H54" i="129" s="1"/>
  <c r="I54" i="129" s="1"/>
  <c r="J54" i="129" s="1"/>
  <c r="L54" i="129" s="1"/>
  <c r="D54" i="125"/>
  <c r="E54" i="125" s="1"/>
  <c r="H54" i="125" s="1"/>
  <c r="I54" i="125" s="1"/>
  <c r="J54" i="125" s="1"/>
  <c r="L54" i="125" s="1"/>
  <c r="D54" i="115"/>
  <c r="E54" i="115" s="1"/>
  <c r="H54" i="115" s="1"/>
  <c r="D54" i="116"/>
  <c r="E54" i="116" s="1"/>
  <c r="H54" i="116" s="1"/>
  <c r="D51" i="76"/>
  <c r="E51" i="76" s="1"/>
  <c r="H51" i="76" s="1"/>
  <c r="J51" i="76" s="1"/>
  <c r="K51" i="76" s="1"/>
  <c r="M51" i="76" s="1"/>
  <c r="C37" i="33"/>
  <c r="AP38" i="1"/>
  <c r="BA38" i="1"/>
  <c r="AW38" i="1"/>
  <c r="D60" i="129"/>
  <c r="E60" i="129" s="1"/>
  <c r="H60" i="129" s="1"/>
  <c r="I60" i="129" s="1"/>
  <c r="J60" i="129" s="1"/>
  <c r="L60" i="129" s="1"/>
  <c r="D60" i="113"/>
  <c r="E60" i="113" s="1"/>
  <c r="H60" i="113" s="1"/>
  <c r="D60" i="131"/>
  <c r="E60" i="131" s="1"/>
  <c r="H60" i="131" s="1"/>
  <c r="I60" i="131" s="1"/>
  <c r="J60" i="131" s="1"/>
  <c r="L60" i="131" s="1"/>
  <c r="D60" i="119"/>
  <c r="E60" i="119" s="1"/>
  <c r="H60" i="119" s="1"/>
  <c r="D60" i="118"/>
  <c r="E60" i="118" s="1"/>
  <c r="H60" i="118" s="1"/>
  <c r="D57" i="76"/>
  <c r="E57" i="76" s="1"/>
  <c r="H57" i="76" s="1"/>
  <c r="J57" i="76" s="1"/>
  <c r="K57" i="76" s="1"/>
  <c r="M57" i="76" s="1"/>
  <c r="D57" i="80"/>
  <c r="E57" i="80" s="1"/>
  <c r="H57" i="80" s="1"/>
  <c r="J57" i="80" s="1"/>
  <c r="K57" i="80" s="1"/>
  <c r="M57" i="80" s="1"/>
  <c r="D60" i="127"/>
  <c r="E60" i="127" s="1"/>
  <c r="H60" i="127" s="1"/>
  <c r="I60" i="127" s="1"/>
  <c r="J60" i="127" s="1"/>
  <c r="L60" i="127" s="1"/>
  <c r="D60" i="128"/>
  <c r="E60" i="128" s="1"/>
  <c r="H60" i="128" s="1"/>
  <c r="I60" i="128" s="1"/>
  <c r="J60" i="128" s="1"/>
  <c r="L60" i="128" s="1"/>
  <c r="D60" i="125"/>
  <c r="E60" i="125" s="1"/>
  <c r="H60" i="125" s="1"/>
  <c r="I60" i="125" s="1"/>
  <c r="J60" i="125" s="1"/>
  <c r="L60" i="125" s="1"/>
  <c r="D60" i="126"/>
  <c r="E60" i="126" s="1"/>
  <c r="H60" i="126" s="1"/>
  <c r="I60" i="126" s="1"/>
  <c r="J60" i="126" s="1"/>
  <c r="L60" i="126" s="1"/>
  <c r="D60" i="120"/>
  <c r="E60" i="120" s="1"/>
  <c r="H60" i="120" s="1"/>
  <c r="D60" i="114"/>
  <c r="E60" i="114" s="1"/>
  <c r="H60" i="114" s="1"/>
  <c r="D60" i="116"/>
  <c r="E60" i="116" s="1"/>
  <c r="H60" i="116" s="1"/>
  <c r="D60" i="117"/>
  <c r="E60" i="117" s="1"/>
  <c r="H60" i="117" s="1"/>
  <c r="D60" i="115"/>
  <c r="E60" i="115" s="1"/>
  <c r="H60" i="115" s="1"/>
  <c r="I31" i="118"/>
  <c r="J31" i="118" s="1"/>
  <c r="L31" i="118" s="1"/>
  <c r="O31" i="33"/>
  <c r="M31" i="127"/>
  <c r="V31" i="127" s="1"/>
  <c r="U31" i="127"/>
  <c r="I31" i="117"/>
  <c r="J31" i="117" s="1"/>
  <c r="L31" i="117" s="1"/>
  <c r="N31" i="33"/>
  <c r="BA76" i="1"/>
  <c r="AW76" i="1"/>
  <c r="AP76" i="1"/>
  <c r="C75" i="33"/>
  <c r="BA44" i="1"/>
  <c r="C43" i="33"/>
  <c r="AP44" i="1"/>
  <c r="AW44" i="1"/>
  <c r="D49" i="67"/>
  <c r="E49" i="67" s="1"/>
  <c r="F49" i="67" s="1"/>
  <c r="G49" i="67" s="1"/>
  <c r="AC49" i="33"/>
  <c r="D26" i="120"/>
  <c r="E26" i="120" s="1"/>
  <c r="H26" i="120" s="1"/>
  <c r="D26" i="127"/>
  <c r="E26" i="127" s="1"/>
  <c r="H26" i="127" s="1"/>
  <c r="I26" i="127" s="1"/>
  <c r="J26" i="127" s="1"/>
  <c r="L26" i="127" s="1"/>
  <c r="D26" i="117"/>
  <c r="E26" i="117" s="1"/>
  <c r="H26" i="117" s="1"/>
  <c r="D26" i="114"/>
  <c r="E26" i="114" s="1"/>
  <c r="H26" i="114" s="1"/>
  <c r="D26" i="116"/>
  <c r="E26" i="116" s="1"/>
  <c r="H26" i="116" s="1"/>
  <c r="D23" i="76"/>
  <c r="E23" i="76" s="1"/>
  <c r="H23" i="76" s="1"/>
  <c r="D26" i="113"/>
  <c r="E26" i="113" s="1"/>
  <c r="H26" i="113" s="1"/>
  <c r="D26" i="131"/>
  <c r="E26" i="131" s="1"/>
  <c r="H26" i="131" s="1"/>
  <c r="I26" i="131" s="1"/>
  <c r="J26" i="131" s="1"/>
  <c r="L26" i="131" s="1"/>
  <c r="D26" i="118"/>
  <c r="E26" i="118" s="1"/>
  <c r="H26" i="118" s="1"/>
  <c r="D26" i="125"/>
  <c r="E26" i="125" s="1"/>
  <c r="H26" i="125" s="1"/>
  <c r="I26" i="125" s="1"/>
  <c r="J26" i="125" s="1"/>
  <c r="L26" i="125" s="1"/>
  <c r="D26" i="115"/>
  <c r="E26" i="115" s="1"/>
  <c r="H26" i="115" s="1"/>
  <c r="D26" i="126"/>
  <c r="E26" i="126" s="1"/>
  <c r="H26" i="126" s="1"/>
  <c r="I26" i="126" s="1"/>
  <c r="J26" i="126" s="1"/>
  <c r="L26" i="126" s="1"/>
  <c r="D23" i="80"/>
  <c r="E23" i="80" s="1"/>
  <c r="H23" i="80" s="1"/>
  <c r="D26" i="129"/>
  <c r="E26" i="129" s="1"/>
  <c r="H26" i="129" s="1"/>
  <c r="I26" i="129" s="1"/>
  <c r="J26" i="129" s="1"/>
  <c r="L26" i="129" s="1"/>
  <c r="D26" i="128"/>
  <c r="E26" i="128" s="1"/>
  <c r="H26" i="128" s="1"/>
  <c r="I26" i="128" s="1"/>
  <c r="J26" i="128" s="1"/>
  <c r="L26" i="128" s="1"/>
  <c r="D26" i="119"/>
  <c r="E26" i="119" s="1"/>
  <c r="H26" i="119" s="1"/>
  <c r="I23" i="80"/>
  <c r="I23" i="76"/>
  <c r="I67" i="80"/>
  <c r="S70" i="33" s="1"/>
  <c r="I40" i="115"/>
  <c r="J40" i="115" s="1"/>
  <c r="L40" i="115" s="1"/>
  <c r="L40" i="33"/>
  <c r="M40" i="129"/>
  <c r="V40" i="129" s="1"/>
  <c r="U40" i="129"/>
  <c r="U40" i="127"/>
  <c r="M40" i="127"/>
  <c r="V40" i="127" s="1"/>
  <c r="E67" i="76"/>
  <c r="H67" i="76" s="1"/>
  <c r="I67" i="76"/>
  <c r="L70" i="33"/>
  <c r="I70" i="115"/>
  <c r="J70" i="115" s="1"/>
  <c r="L70" i="115" s="1"/>
  <c r="I70" i="116"/>
  <c r="J70" i="116" s="1"/>
  <c r="L70" i="116" s="1"/>
  <c r="M70" i="33"/>
  <c r="D33" i="115"/>
  <c r="E33" i="115" s="1"/>
  <c r="H33" i="115" s="1"/>
  <c r="D33" i="118"/>
  <c r="E33" i="118" s="1"/>
  <c r="H33" i="118" s="1"/>
  <c r="D33" i="128"/>
  <c r="E33" i="128" s="1"/>
  <c r="H33" i="128" s="1"/>
  <c r="I33" i="128" s="1"/>
  <c r="J33" i="128" s="1"/>
  <c r="L33" i="128" s="1"/>
  <c r="D30" i="80"/>
  <c r="E30" i="80" s="1"/>
  <c r="H30" i="80" s="1"/>
  <c r="D33" i="114"/>
  <c r="E33" i="114" s="1"/>
  <c r="H33" i="114" s="1"/>
  <c r="D33" i="113"/>
  <c r="E33" i="113" s="1"/>
  <c r="H33" i="113" s="1"/>
  <c r="D33" i="127"/>
  <c r="E33" i="127" s="1"/>
  <c r="H33" i="127" s="1"/>
  <c r="I33" i="127" s="1"/>
  <c r="J33" i="127" s="1"/>
  <c r="L33" i="127" s="1"/>
  <c r="D33" i="119"/>
  <c r="E33" i="119" s="1"/>
  <c r="H33" i="119" s="1"/>
  <c r="D33" i="129"/>
  <c r="E33" i="129" s="1"/>
  <c r="H33" i="129" s="1"/>
  <c r="I33" i="129" s="1"/>
  <c r="J33" i="129" s="1"/>
  <c r="L33" i="129" s="1"/>
  <c r="D33" i="120"/>
  <c r="E33" i="120" s="1"/>
  <c r="H33" i="120" s="1"/>
  <c r="D33" i="131"/>
  <c r="E33" i="131" s="1"/>
  <c r="H33" i="131" s="1"/>
  <c r="I33" i="131" s="1"/>
  <c r="J33" i="131" s="1"/>
  <c r="L33" i="131" s="1"/>
  <c r="D33" i="125"/>
  <c r="E33" i="125" s="1"/>
  <c r="H33" i="125" s="1"/>
  <c r="I33" i="125" s="1"/>
  <c r="J33" i="125" s="1"/>
  <c r="L33" i="125" s="1"/>
  <c r="D33" i="116"/>
  <c r="E33" i="116" s="1"/>
  <c r="H33" i="116" s="1"/>
  <c r="D33" i="117"/>
  <c r="E33" i="117" s="1"/>
  <c r="H33" i="117" s="1"/>
  <c r="D30" i="76"/>
  <c r="E30" i="76" s="1"/>
  <c r="H30" i="76" s="1"/>
  <c r="D33" i="126"/>
  <c r="E33" i="126" s="1"/>
  <c r="H33" i="126" s="1"/>
  <c r="I33" i="126" s="1"/>
  <c r="J33" i="126" s="1"/>
  <c r="L33" i="126" s="1"/>
  <c r="BA67" i="1"/>
  <c r="AW67" i="1"/>
  <c r="C66" i="33"/>
  <c r="AP67" i="1"/>
  <c r="D21" i="125"/>
  <c r="E21" i="125" s="1"/>
  <c r="H21" i="125" s="1"/>
  <c r="I21" i="125" s="1"/>
  <c r="J21" i="125" s="1"/>
  <c r="L21" i="125" s="1"/>
  <c r="D21" i="116"/>
  <c r="E21" i="116" s="1"/>
  <c r="H21" i="116" s="1"/>
  <c r="D21" i="114"/>
  <c r="E21" i="114" s="1"/>
  <c r="H21" i="114" s="1"/>
  <c r="D21" i="113"/>
  <c r="E21" i="113" s="1"/>
  <c r="H21" i="113" s="1"/>
  <c r="D21" i="120"/>
  <c r="E21" i="120" s="1"/>
  <c r="H21" i="120" s="1"/>
  <c r="D21" i="131"/>
  <c r="E21" i="131" s="1"/>
  <c r="H21" i="131" s="1"/>
  <c r="I21" i="131" s="1"/>
  <c r="J21" i="131" s="1"/>
  <c r="L21" i="131" s="1"/>
  <c r="D21" i="115"/>
  <c r="E21" i="115" s="1"/>
  <c r="H21" i="115" s="1"/>
  <c r="D18" i="80"/>
  <c r="D21" i="128"/>
  <c r="E21" i="128" s="1"/>
  <c r="H21" i="128" s="1"/>
  <c r="I21" i="128" s="1"/>
  <c r="J21" i="128" s="1"/>
  <c r="L21" i="128" s="1"/>
  <c r="D21" i="127"/>
  <c r="E21" i="127" s="1"/>
  <c r="H21" i="127" s="1"/>
  <c r="I21" i="127" s="1"/>
  <c r="J21" i="127" s="1"/>
  <c r="L21" i="127" s="1"/>
  <c r="D18" i="76"/>
  <c r="D21" i="129"/>
  <c r="E21" i="129" s="1"/>
  <c r="H21" i="129" s="1"/>
  <c r="I21" i="129" s="1"/>
  <c r="J21" i="129" s="1"/>
  <c r="L21" i="129" s="1"/>
  <c r="D21" i="119"/>
  <c r="E21" i="119" s="1"/>
  <c r="H21" i="119" s="1"/>
  <c r="D21" i="117"/>
  <c r="E21" i="117" s="1"/>
  <c r="H21" i="117" s="1"/>
  <c r="D21" i="126"/>
  <c r="E21" i="126" s="1"/>
  <c r="H21" i="126" s="1"/>
  <c r="I21" i="126" s="1"/>
  <c r="J21" i="126" s="1"/>
  <c r="L21" i="126" s="1"/>
  <c r="D21" i="118"/>
  <c r="E21" i="118" s="1"/>
  <c r="H21" i="118" s="1"/>
  <c r="D29" i="128"/>
  <c r="E29" i="128" s="1"/>
  <c r="H29" i="128" s="1"/>
  <c r="I29" i="128" s="1"/>
  <c r="J29" i="128" s="1"/>
  <c r="L29" i="128" s="1"/>
  <c r="D26" i="76"/>
  <c r="E26" i="76" s="1"/>
  <c r="H26" i="76" s="1"/>
  <c r="J26" i="76" s="1"/>
  <c r="K26" i="76" s="1"/>
  <c r="M26" i="76" s="1"/>
  <c r="D29" i="131"/>
  <c r="E29" i="131" s="1"/>
  <c r="H29" i="131" s="1"/>
  <c r="I29" i="131" s="1"/>
  <c r="J29" i="131" s="1"/>
  <c r="L29" i="131" s="1"/>
  <c r="D29" i="114"/>
  <c r="E29" i="114" s="1"/>
  <c r="H29" i="114" s="1"/>
  <c r="D29" i="116"/>
  <c r="E29" i="116" s="1"/>
  <c r="H29" i="116" s="1"/>
  <c r="D29" i="125"/>
  <c r="E29" i="125" s="1"/>
  <c r="H29" i="125" s="1"/>
  <c r="I29" i="125" s="1"/>
  <c r="J29" i="125" s="1"/>
  <c r="L29" i="125" s="1"/>
  <c r="D29" i="120"/>
  <c r="E29" i="120" s="1"/>
  <c r="H29" i="120" s="1"/>
  <c r="D29" i="126"/>
  <c r="E29" i="126" s="1"/>
  <c r="H29" i="126" s="1"/>
  <c r="I29" i="126" s="1"/>
  <c r="J29" i="126" s="1"/>
  <c r="L29" i="126" s="1"/>
  <c r="D29" i="119"/>
  <c r="E29" i="119" s="1"/>
  <c r="H29" i="119" s="1"/>
  <c r="D26" i="80"/>
  <c r="D29" i="115"/>
  <c r="E29" i="115" s="1"/>
  <c r="H29" i="115" s="1"/>
  <c r="D29" i="129"/>
  <c r="E29" i="129" s="1"/>
  <c r="H29" i="129" s="1"/>
  <c r="I29" i="129" s="1"/>
  <c r="J29" i="129" s="1"/>
  <c r="L29" i="129" s="1"/>
  <c r="D29" i="117"/>
  <c r="E29" i="117" s="1"/>
  <c r="H29" i="117" s="1"/>
  <c r="D29" i="113"/>
  <c r="E29" i="113" s="1"/>
  <c r="H29" i="113" s="1"/>
  <c r="D29" i="118"/>
  <c r="E29" i="118" s="1"/>
  <c r="H29" i="118" s="1"/>
  <c r="D29" i="127"/>
  <c r="E29" i="127" s="1"/>
  <c r="H29" i="127" s="1"/>
  <c r="I29" i="127" s="1"/>
  <c r="J29" i="127" s="1"/>
  <c r="L29" i="127" s="1"/>
  <c r="P55" i="33"/>
  <c r="I55" i="119"/>
  <c r="J55" i="119" s="1"/>
  <c r="L55" i="119" s="1"/>
  <c r="N52" i="80"/>
  <c r="W52" i="80" s="1"/>
  <c r="V52" i="80"/>
  <c r="M55" i="125"/>
  <c r="V55" i="125" s="1"/>
  <c r="U55" i="125"/>
  <c r="I55" i="117"/>
  <c r="J55" i="117" s="1"/>
  <c r="L55" i="117" s="1"/>
  <c r="N55" i="33"/>
  <c r="U38" i="125"/>
  <c r="M38" i="125"/>
  <c r="V38" i="125" s="1"/>
  <c r="K38" i="33"/>
  <c r="I38" i="114"/>
  <c r="J38" i="114" s="1"/>
  <c r="L38" i="114" s="1"/>
  <c r="M38" i="129"/>
  <c r="V38" i="129" s="1"/>
  <c r="U38" i="129"/>
  <c r="I38" i="120"/>
  <c r="J38" i="120" s="1"/>
  <c r="L38" i="120" s="1"/>
  <c r="Q38" i="33"/>
  <c r="E46" i="76"/>
  <c r="H46" i="76" s="1"/>
  <c r="I46" i="76"/>
  <c r="U49" i="128"/>
  <c r="M49" i="128"/>
  <c r="V49" i="128" s="1"/>
  <c r="L49" i="33"/>
  <c r="I49" i="115"/>
  <c r="J49" i="115" s="1"/>
  <c r="L49" i="115" s="1"/>
  <c r="J69" i="33"/>
  <c r="I69" i="113"/>
  <c r="J69" i="113" s="1"/>
  <c r="L69" i="113" s="1"/>
  <c r="M69" i="113" s="1"/>
  <c r="L69" i="33"/>
  <c r="I69" i="115"/>
  <c r="J69" i="115" s="1"/>
  <c r="L69" i="115" s="1"/>
  <c r="M69" i="33"/>
  <c r="I69" i="116"/>
  <c r="J69" i="116" s="1"/>
  <c r="L69" i="116" s="1"/>
  <c r="D9" i="128"/>
  <c r="E9" i="128" s="1"/>
  <c r="H9" i="128" s="1"/>
  <c r="I9" i="128" s="1"/>
  <c r="J9" i="128" s="1"/>
  <c r="L9" i="128" s="1"/>
  <c r="D9" i="114"/>
  <c r="E9" i="114" s="1"/>
  <c r="H9" i="114" s="1"/>
  <c r="D9" i="119"/>
  <c r="E9" i="119" s="1"/>
  <c r="H9" i="119" s="1"/>
  <c r="D6" i="80"/>
  <c r="D9" i="131"/>
  <c r="E9" i="131" s="1"/>
  <c r="H9" i="131" s="1"/>
  <c r="I9" i="131" s="1"/>
  <c r="J9" i="131" s="1"/>
  <c r="L9" i="131" s="1"/>
  <c r="D6" i="76"/>
  <c r="D9" i="116"/>
  <c r="E9" i="116" s="1"/>
  <c r="H9" i="116" s="1"/>
  <c r="D9" i="125"/>
  <c r="E9" i="125" s="1"/>
  <c r="H9" i="125" s="1"/>
  <c r="I9" i="125" s="1"/>
  <c r="J9" i="125" s="1"/>
  <c r="L9" i="125" s="1"/>
  <c r="D9" i="118"/>
  <c r="E9" i="118" s="1"/>
  <c r="H9" i="118" s="1"/>
  <c r="D9" i="115"/>
  <c r="E9" i="115" s="1"/>
  <c r="H9" i="115" s="1"/>
  <c r="D9" i="117"/>
  <c r="E9" i="117" s="1"/>
  <c r="H9" i="117" s="1"/>
  <c r="D9" i="127"/>
  <c r="E9" i="127" s="1"/>
  <c r="H9" i="127" s="1"/>
  <c r="I9" i="127" s="1"/>
  <c r="J9" i="127" s="1"/>
  <c r="L9" i="127" s="1"/>
  <c r="D9" i="126"/>
  <c r="E9" i="126" s="1"/>
  <c r="H9" i="126" s="1"/>
  <c r="I9" i="126" s="1"/>
  <c r="J9" i="126" s="1"/>
  <c r="L9" i="126" s="1"/>
  <c r="D9" i="129"/>
  <c r="E9" i="129" s="1"/>
  <c r="H9" i="129" s="1"/>
  <c r="I9" i="129" s="1"/>
  <c r="J9" i="129" s="1"/>
  <c r="L9" i="129" s="1"/>
  <c r="M9" i="129" s="1"/>
  <c r="V9" i="129" s="1"/>
  <c r="D9" i="120"/>
  <c r="E9" i="120" s="1"/>
  <c r="H9" i="120" s="1"/>
  <c r="D9" i="113"/>
  <c r="E9" i="113" s="1"/>
  <c r="H9" i="113" s="1"/>
  <c r="I64" i="115"/>
  <c r="J64" i="115" s="1"/>
  <c r="L64" i="115" s="1"/>
  <c r="L64" i="33"/>
  <c r="I64" i="114"/>
  <c r="J64" i="114" s="1"/>
  <c r="L64" i="114" s="1"/>
  <c r="K64" i="33"/>
  <c r="M64" i="127"/>
  <c r="V64" i="127" s="1"/>
  <c r="U64" i="127"/>
  <c r="M64" i="128"/>
  <c r="V64" i="128" s="1"/>
  <c r="U64" i="128"/>
  <c r="D73" i="115"/>
  <c r="E73" i="115" s="1"/>
  <c r="H73" i="115" s="1"/>
  <c r="D73" i="119"/>
  <c r="E73" i="119" s="1"/>
  <c r="H73" i="119" s="1"/>
  <c r="D73" i="113"/>
  <c r="E73" i="113" s="1"/>
  <c r="H73" i="113" s="1"/>
  <c r="D73" i="120"/>
  <c r="E73" i="120" s="1"/>
  <c r="H73" i="120" s="1"/>
  <c r="D73" i="117"/>
  <c r="E73" i="117" s="1"/>
  <c r="H73" i="117" s="1"/>
  <c r="D70" i="76"/>
  <c r="D73" i="128"/>
  <c r="E73" i="128" s="1"/>
  <c r="H73" i="128" s="1"/>
  <c r="I73" i="128" s="1"/>
  <c r="J73" i="128" s="1"/>
  <c r="L73" i="128" s="1"/>
  <c r="D73" i="118"/>
  <c r="E73" i="118" s="1"/>
  <c r="H73" i="118" s="1"/>
  <c r="D73" i="114"/>
  <c r="E73" i="114" s="1"/>
  <c r="H73" i="114" s="1"/>
  <c r="D73" i="125"/>
  <c r="E73" i="125" s="1"/>
  <c r="H73" i="125" s="1"/>
  <c r="I73" i="125" s="1"/>
  <c r="J73" i="125" s="1"/>
  <c r="L73" i="125" s="1"/>
  <c r="U73" i="125" s="1"/>
  <c r="D73" i="127"/>
  <c r="E73" i="127" s="1"/>
  <c r="H73" i="127" s="1"/>
  <c r="I73" i="127" s="1"/>
  <c r="J73" i="127" s="1"/>
  <c r="L73" i="127" s="1"/>
  <c r="D70" i="80"/>
  <c r="D73" i="126"/>
  <c r="E73" i="126" s="1"/>
  <c r="H73" i="126" s="1"/>
  <c r="I73" i="126" s="1"/>
  <c r="J73" i="126" s="1"/>
  <c r="L73" i="126" s="1"/>
  <c r="D73" i="129"/>
  <c r="E73" i="129" s="1"/>
  <c r="H73" i="129" s="1"/>
  <c r="I73" i="129" s="1"/>
  <c r="J73" i="129" s="1"/>
  <c r="L73" i="129" s="1"/>
  <c r="D73" i="131"/>
  <c r="E73" i="131" s="1"/>
  <c r="H73" i="131" s="1"/>
  <c r="I73" i="131" s="1"/>
  <c r="J73" i="131" s="1"/>
  <c r="L73" i="131" s="1"/>
  <c r="D73" i="116"/>
  <c r="E73" i="116" s="1"/>
  <c r="H73" i="116" s="1"/>
  <c r="M39" i="33"/>
  <c r="I39" i="116"/>
  <c r="J39" i="116" s="1"/>
  <c r="L39" i="116" s="1"/>
  <c r="D18" i="116"/>
  <c r="E18" i="116" s="1"/>
  <c r="H18" i="116" s="1"/>
  <c r="D18" i="119"/>
  <c r="E18" i="119" s="1"/>
  <c r="H18" i="119" s="1"/>
  <c r="D18" i="114"/>
  <c r="E18" i="114" s="1"/>
  <c r="H18" i="114" s="1"/>
  <c r="D18" i="131"/>
  <c r="E18" i="131" s="1"/>
  <c r="H18" i="131" s="1"/>
  <c r="I18" i="131" s="1"/>
  <c r="J18" i="131" s="1"/>
  <c r="L18" i="131" s="1"/>
  <c r="M18" i="131" s="1"/>
  <c r="V18" i="131" s="1"/>
  <c r="D18" i="126"/>
  <c r="E18" i="126" s="1"/>
  <c r="H18" i="126" s="1"/>
  <c r="I18" i="126" s="1"/>
  <c r="J18" i="126" s="1"/>
  <c r="L18" i="126" s="1"/>
  <c r="D18" i="127"/>
  <c r="E18" i="127" s="1"/>
  <c r="H18" i="127" s="1"/>
  <c r="I18" i="127" s="1"/>
  <c r="J18" i="127" s="1"/>
  <c r="L18" i="127" s="1"/>
  <c r="D18" i="115"/>
  <c r="E18" i="115" s="1"/>
  <c r="H18" i="115" s="1"/>
  <c r="D18" i="117"/>
  <c r="E18" i="117" s="1"/>
  <c r="H18" i="117" s="1"/>
  <c r="D18" i="120"/>
  <c r="E18" i="120" s="1"/>
  <c r="H18" i="120" s="1"/>
  <c r="D18" i="113"/>
  <c r="E18" i="113" s="1"/>
  <c r="H18" i="113" s="1"/>
  <c r="D15" i="76"/>
  <c r="D18" i="125"/>
  <c r="E18" i="125" s="1"/>
  <c r="H18" i="125" s="1"/>
  <c r="I18" i="125" s="1"/>
  <c r="J18" i="125" s="1"/>
  <c r="L18" i="125" s="1"/>
  <c r="M18" i="125" s="1"/>
  <c r="V18" i="125" s="1"/>
  <c r="D18" i="128"/>
  <c r="E18" i="128" s="1"/>
  <c r="H18" i="128" s="1"/>
  <c r="I18" i="128" s="1"/>
  <c r="J18" i="128" s="1"/>
  <c r="L18" i="128" s="1"/>
  <c r="U18" i="128" s="1"/>
  <c r="D18" i="118"/>
  <c r="E18" i="118" s="1"/>
  <c r="H18" i="118" s="1"/>
  <c r="D18" i="129"/>
  <c r="E18" i="129" s="1"/>
  <c r="H18" i="129" s="1"/>
  <c r="I18" i="129" s="1"/>
  <c r="J18" i="129" s="1"/>
  <c r="L18" i="129" s="1"/>
  <c r="D15" i="80"/>
  <c r="D31" i="67"/>
  <c r="E31" i="67" s="1"/>
  <c r="F31" i="67" s="1"/>
  <c r="G31" i="67" s="1"/>
  <c r="AC31" i="33"/>
  <c r="AW42" i="1"/>
  <c r="C41" i="33"/>
  <c r="AP42" i="1"/>
  <c r="BA42" i="1"/>
  <c r="AP33" i="1"/>
  <c r="AW33" i="1"/>
  <c r="BA33" i="1"/>
  <c r="C32" i="33"/>
  <c r="D16" i="128"/>
  <c r="E16" i="128" s="1"/>
  <c r="H16" i="128" s="1"/>
  <c r="I16" i="128" s="1"/>
  <c r="J16" i="128" s="1"/>
  <c r="L16" i="128" s="1"/>
  <c r="D16" i="125"/>
  <c r="E16" i="125" s="1"/>
  <c r="H16" i="125" s="1"/>
  <c r="I16" i="125" s="1"/>
  <c r="J16" i="125" s="1"/>
  <c r="L16" i="125" s="1"/>
  <c r="D16" i="117"/>
  <c r="E16" i="117" s="1"/>
  <c r="H16" i="117" s="1"/>
  <c r="D16" i="118"/>
  <c r="E16" i="118" s="1"/>
  <c r="H16" i="118" s="1"/>
  <c r="D16" i="116"/>
  <c r="E16" i="116" s="1"/>
  <c r="H16" i="116" s="1"/>
  <c r="D16" i="131"/>
  <c r="E16" i="131" s="1"/>
  <c r="H16" i="131" s="1"/>
  <c r="I16" i="131" s="1"/>
  <c r="J16" i="131" s="1"/>
  <c r="L16" i="131" s="1"/>
  <c r="D16" i="115"/>
  <c r="E16" i="115" s="1"/>
  <c r="H16" i="115" s="1"/>
  <c r="D16" i="114"/>
  <c r="E16" i="114" s="1"/>
  <c r="H16" i="114" s="1"/>
  <c r="D16" i="129"/>
  <c r="E16" i="129" s="1"/>
  <c r="H16" i="129" s="1"/>
  <c r="I16" i="129" s="1"/>
  <c r="J16" i="129" s="1"/>
  <c r="L16" i="129" s="1"/>
  <c r="D13" i="76"/>
  <c r="E13" i="76" s="1"/>
  <c r="H13" i="76" s="1"/>
  <c r="D16" i="113"/>
  <c r="E16" i="113" s="1"/>
  <c r="H16" i="113" s="1"/>
  <c r="D13" i="80"/>
  <c r="E13" i="80" s="1"/>
  <c r="H13" i="80" s="1"/>
  <c r="J13" i="80" s="1"/>
  <c r="K13" i="80" s="1"/>
  <c r="M13" i="80" s="1"/>
  <c r="D16" i="127"/>
  <c r="E16" i="127" s="1"/>
  <c r="H16" i="127" s="1"/>
  <c r="I16" i="127" s="1"/>
  <c r="J16" i="127" s="1"/>
  <c r="L16" i="127" s="1"/>
  <c r="D16" i="120"/>
  <c r="E16" i="120" s="1"/>
  <c r="H16" i="120" s="1"/>
  <c r="D16" i="119"/>
  <c r="E16" i="119" s="1"/>
  <c r="H16" i="119" s="1"/>
  <c r="D16" i="126"/>
  <c r="E16" i="126" s="1"/>
  <c r="H16" i="126" s="1"/>
  <c r="I16" i="126" s="1"/>
  <c r="J16" i="126" s="1"/>
  <c r="L16" i="126" s="1"/>
  <c r="D40" i="67"/>
  <c r="E40" i="67" s="1"/>
  <c r="F40" i="67" s="1"/>
  <c r="G40" i="67" s="1"/>
  <c r="AC40" i="33"/>
  <c r="E28" i="80"/>
  <c r="H28" i="80" s="1"/>
  <c r="J28" i="80" s="1"/>
  <c r="K28" i="80" s="1"/>
  <c r="M28" i="80" s="1"/>
  <c r="I28" i="80"/>
  <c r="E28" i="76"/>
  <c r="H28" i="76" s="1"/>
  <c r="J28" i="76" s="1"/>
  <c r="K28" i="76" s="1"/>
  <c r="M28" i="76" s="1"/>
  <c r="I28" i="76"/>
  <c r="AV14" i="1"/>
  <c r="AQ14" i="1"/>
  <c r="AX14" i="1"/>
  <c r="D43" i="131"/>
  <c r="E43" i="131" s="1"/>
  <c r="H43" i="131" s="1"/>
  <c r="I43" i="131" s="1"/>
  <c r="J43" i="131" s="1"/>
  <c r="L43" i="131" s="1"/>
  <c r="D40" i="76"/>
  <c r="D43" i="128"/>
  <c r="E43" i="128" s="1"/>
  <c r="H43" i="128" s="1"/>
  <c r="I43" i="128" s="1"/>
  <c r="J43" i="128" s="1"/>
  <c r="L43" i="128" s="1"/>
  <c r="D43" i="118"/>
  <c r="E43" i="118" s="1"/>
  <c r="H43" i="118" s="1"/>
  <c r="D43" i="119"/>
  <c r="E43" i="119" s="1"/>
  <c r="H43" i="119" s="1"/>
  <c r="D43" i="117"/>
  <c r="E43" i="117" s="1"/>
  <c r="H43" i="117" s="1"/>
  <c r="D43" i="127"/>
  <c r="E43" i="127" s="1"/>
  <c r="H43" i="127" s="1"/>
  <c r="I43" i="127" s="1"/>
  <c r="J43" i="127" s="1"/>
  <c r="L43" i="127" s="1"/>
  <c r="D43" i="113"/>
  <c r="E43" i="113" s="1"/>
  <c r="H43" i="113" s="1"/>
  <c r="D43" i="120"/>
  <c r="E43" i="120" s="1"/>
  <c r="H43" i="120" s="1"/>
  <c r="D40" i="80"/>
  <c r="D43" i="115"/>
  <c r="E43" i="115" s="1"/>
  <c r="H43" i="115" s="1"/>
  <c r="D43" i="116"/>
  <c r="E43" i="116" s="1"/>
  <c r="H43" i="116" s="1"/>
  <c r="D43" i="125"/>
  <c r="E43" i="125" s="1"/>
  <c r="H43" i="125" s="1"/>
  <c r="I43" i="125" s="1"/>
  <c r="J43" i="125" s="1"/>
  <c r="L43" i="125" s="1"/>
  <c r="D43" i="126"/>
  <c r="E43" i="126" s="1"/>
  <c r="H43" i="126" s="1"/>
  <c r="I43" i="126" s="1"/>
  <c r="J43" i="126" s="1"/>
  <c r="L43" i="126" s="1"/>
  <c r="D43" i="114"/>
  <c r="E43" i="114" s="1"/>
  <c r="H43" i="114" s="1"/>
  <c r="D43" i="129"/>
  <c r="E43" i="129" s="1"/>
  <c r="H43" i="129" s="1"/>
  <c r="I43" i="129" s="1"/>
  <c r="J43" i="129" s="1"/>
  <c r="L43" i="129" s="1"/>
  <c r="U43" i="129" s="1"/>
  <c r="C50" i="33"/>
  <c r="BA51" i="1"/>
  <c r="AW51" i="1"/>
  <c r="AP51" i="1"/>
  <c r="D47" i="126"/>
  <c r="E47" i="126" s="1"/>
  <c r="H47" i="126" s="1"/>
  <c r="I47" i="126" s="1"/>
  <c r="J47" i="126" s="1"/>
  <c r="L47" i="126" s="1"/>
  <c r="D47" i="131"/>
  <c r="E47" i="131" s="1"/>
  <c r="H47" i="131" s="1"/>
  <c r="I47" i="131" s="1"/>
  <c r="J47" i="131" s="1"/>
  <c r="L47" i="131" s="1"/>
  <c r="D47" i="119"/>
  <c r="E47" i="119" s="1"/>
  <c r="H47" i="119" s="1"/>
  <c r="D47" i="118"/>
  <c r="E47" i="118" s="1"/>
  <c r="H47" i="118" s="1"/>
  <c r="D47" i="114"/>
  <c r="E47" i="114" s="1"/>
  <c r="H47" i="114" s="1"/>
  <c r="D47" i="125"/>
  <c r="E47" i="125" s="1"/>
  <c r="H47" i="125" s="1"/>
  <c r="I47" i="125" s="1"/>
  <c r="J47" i="125" s="1"/>
  <c r="L47" i="125" s="1"/>
  <c r="D47" i="127"/>
  <c r="E47" i="127" s="1"/>
  <c r="H47" i="127" s="1"/>
  <c r="I47" i="127" s="1"/>
  <c r="J47" i="127" s="1"/>
  <c r="L47" i="127" s="1"/>
  <c r="D47" i="113"/>
  <c r="E47" i="113" s="1"/>
  <c r="H47" i="113" s="1"/>
  <c r="D47" i="115"/>
  <c r="E47" i="115" s="1"/>
  <c r="H47" i="115" s="1"/>
  <c r="D47" i="129"/>
  <c r="E47" i="129" s="1"/>
  <c r="H47" i="129" s="1"/>
  <c r="I47" i="129" s="1"/>
  <c r="J47" i="129" s="1"/>
  <c r="L47" i="129" s="1"/>
  <c r="D47" i="120"/>
  <c r="E47" i="120" s="1"/>
  <c r="H47" i="120" s="1"/>
  <c r="D44" i="80"/>
  <c r="D47" i="117"/>
  <c r="E47" i="117" s="1"/>
  <c r="H47" i="117" s="1"/>
  <c r="D44" i="76"/>
  <c r="E44" i="76" s="1"/>
  <c r="H44" i="76" s="1"/>
  <c r="J44" i="76" s="1"/>
  <c r="K44" i="76" s="1"/>
  <c r="M44" i="76" s="1"/>
  <c r="V44" i="76" s="1"/>
  <c r="D47" i="116"/>
  <c r="E47" i="116" s="1"/>
  <c r="H47" i="116" s="1"/>
  <c r="D47" i="128"/>
  <c r="E47" i="128" s="1"/>
  <c r="H47" i="128" s="1"/>
  <c r="I47" i="128" s="1"/>
  <c r="J47" i="128" s="1"/>
  <c r="L47" i="128" s="1"/>
  <c r="V37" i="76"/>
  <c r="N37" i="76"/>
  <c r="W37" i="76" s="1"/>
  <c r="D64" i="67"/>
  <c r="E64" i="67" s="1"/>
  <c r="F64" i="67" s="1"/>
  <c r="G64" i="67" s="1"/>
  <c r="AC64" i="33"/>
  <c r="U55" i="129"/>
  <c r="M55" i="129"/>
  <c r="V55" i="129" s="1"/>
  <c r="I55" i="116"/>
  <c r="J55" i="116" s="1"/>
  <c r="L55" i="116" s="1"/>
  <c r="M55" i="33"/>
  <c r="E35" i="80"/>
  <c r="H35" i="80" s="1"/>
  <c r="J35" i="80" s="1"/>
  <c r="K35" i="80" s="1"/>
  <c r="M35" i="80" s="1"/>
  <c r="I35" i="80"/>
  <c r="I38" i="118"/>
  <c r="J38" i="118" s="1"/>
  <c r="L38" i="118" s="1"/>
  <c r="O38" i="33"/>
  <c r="N38" i="33"/>
  <c r="I38" i="117"/>
  <c r="J38" i="117" s="1"/>
  <c r="L38" i="117" s="1"/>
  <c r="I46" i="80"/>
  <c r="E46" i="80"/>
  <c r="H46" i="80" s="1"/>
  <c r="D39" i="67"/>
  <c r="E39" i="67" s="1"/>
  <c r="F39" i="67" s="1"/>
  <c r="G39" i="67" s="1"/>
  <c r="AC39" i="33"/>
  <c r="BA25" i="1"/>
  <c r="AW25" i="1"/>
  <c r="C24" i="33"/>
  <c r="AP25" i="1"/>
  <c r="C68" i="33"/>
  <c r="BA69" i="1"/>
  <c r="AW69" i="1"/>
  <c r="AQ69" i="1" s="1"/>
  <c r="AP69" i="1"/>
  <c r="U69" i="129"/>
  <c r="M69" i="129"/>
  <c r="V69" i="129" s="1"/>
  <c r="Q69" i="33"/>
  <c r="I69" i="120"/>
  <c r="J69" i="120" s="1"/>
  <c r="L69" i="120" s="1"/>
  <c r="E17" i="137"/>
  <c r="H17" i="137" s="1"/>
  <c r="I17" i="137" s="1"/>
  <c r="J17" i="137" s="1"/>
  <c r="M17" i="137" s="1"/>
  <c r="N17" i="137" s="1"/>
  <c r="D35" i="128"/>
  <c r="E35" i="128" s="1"/>
  <c r="H35" i="128" s="1"/>
  <c r="I35" i="128" s="1"/>
  <c r="J35" i="128" s="1"/>
  <c r="L35" i="128" s="1"/>
  <c r="D35" i="120"/>
  <c r="E35" i="120" s="1"/>
  <c r="H35" i="120" s="1"/>
  <c r="D35" i="115"/>
  <c r="E35" i="115" s="1"/>
  <c r="H35" i="115" s="1"/>
  <c r="D32" i="80"/>
  <c r="E32" i="80" s="1"/>
  <c r="H32" i="80" s="1"/>
  <c r="J32" i="80" s="1"/>
  <c r="K32" i="80" s="1"/>
  <c r="M32" i="80" s="1"/>
  <c r="V32" i="80" s="1"/>
  <c r="D35" i="117"/>
  <c r="E35" i="117" s="1"/>
  <c r="H35" i="117" s="1"/>
  <c r="D32" i="76"/>
  <c r="E32" i="76" s="1"/>
  <c r="H32" i="76" s="1"/>
  <c r="D35" i="129"/>
  <c r="E35" i="129" s="1"/>
  <c r="H35" i="129" s="1"/>
  <c r="I35" i="129" s="1"/>
  <c r="J35" i="129" s="1"/>
  <c r="L35" i="129" s="1"/>
  <c r="D35" i="125"/>
  <c r="E35" i="125" s="1"/>
  <c r="H35" i="125" s="1"/>
  <c r="I35" i="125" s="1"/>
  <c r="J35" i="125" s="1"/>
  <c r="L35" i="125" s="1"/>
  <c r="D35" i="114"/>
  <c r="E35" i="114" s="1"/>
  <c r="H35" i="114" s="1"/>
  <c r="D35" i="113"/>
  <c r="E35" i="113" s="1"/>
  <c r="H35" i="113" s="1"/>
  <c r="D35" i="119"/>
  <c r="E35" i="119" s="1"/>
  <c r="H35" i="119" s="1"/>
  <c r="D35" i="116"/>
  <c r="E35" i="116" s="1"/>
  <c r="H35" i="116" s="1"/>
  <c r="D35" i="118"/>
  <c r="E35" i="118" s="1"/>
  <c r="H35" i="118" s="1"/>
  <c r="D35" i="127"/>
  <c r="E35" i="127" s="1"/>
  <c r="H35" i="127" s="1"/>
  <c r="I35" i="127" s="1"/>
  <c r="J35" i="127" s="1"/>
  <c r="L35" i="127" s="1"/>
  <c r="D35" i="131"/>
  <c r="E35" i="131" s="1"/>
  <c r="H35" i="131" s="1"/>
  <c r="I35" i="131" s="1"/>
  <c r="J35" i="131" s="1"/>
  <c r="L35" i="131" s="1"/>
  <c r="D35" i="126"/>
  <c r="E35" i="126" s="1"/>
  <c r="H35" i="126" s="1"/>
  <c r="I35" i="126" s="1"/>
  <c r="J35" i="126" s="1"/>
  <c r="L35" i="126" s="1"/>
  <c r="J64" i="33"/>
  <c r="I64" i="113"/>
  <c r="J64" i="113" s="1"/>
  <c r="L64" i="113" s="1"/>
  <c r="M64" i="113" s="1"/>
  <c r="I64" i="119"/>
  <c r="J64" i="119" s="1"/>
  <c r="L64" i="119" s="1"/>
  <c r="P64" i="33"/>
  <c r="M64" i="33"/>
  <c r="I64" i="116"/>
  <c r="J64" i="116" s="1"/>
  <c r="L64" i="116" s="1"/>
  <c r="AQ41" i="1"/>
  <c r="AV41" i="1"/>
  <c r="AX41" i="1"/>
  <c r="C54" i="33"/>
  <c r="BA55" i="1"/>
  <c r="AW55" i="1"/>
  <c r="AP55" i="1"/>
  <c r="D37" i="126"/>
  <c r="E37" i="126" s="1"/>
  <c r="H37" i="126" s="1"/>
  <c r="I37" i="126" s="1"/>
  <c r="J37" i="126" s="1"/>
  <c r="L37" i="126" s="1"/>
  <c r="D37" i="119"/>
  <c r="E37" i="119" s="1"/>
  <c r="H37" i="119" s="1"/>
  <c r="D37" i="117"/>
  <c r="E37" i="117" s="1"/>
  <c r="H37" i="117" s="1"/>
  <c r="D37" i="114"/>
  <c r="E37" i="114" s="1"/>
  <c r="H37" i="114" s="1"/>
  <c r="D37" i="118"/>
  <c r="E37" i="118" s="1"/>
  <c r="H37" i="118" s="1"/>
  <c r="D37" i="131"/>
  <c r="E37" i="131" s="1"/>
  <c r="H37" i="131" s="1"/>
  <c r="I37" i="131" s="1"/>
  <c r="J37" i="131" s="1"/>
  <c r="L37" i="131" s="1"/>
  <c r="D34" i="76"/>
  <c r="E34" i="76" s="1"/>
  <c r="H34" i="76" s="1"/>
  <c r="J34" i="76" s="1"/>
  <c r="K34" i="76" s="1"/>
  <c r="M34" i="76" s="1"/>
  <c r="D37" i="113"/>
  <c r="E37" i="113" s="1"/>
  <c r="H37" i="113" s="1"/>
  <c r="D37" i="128"/>
  <c r="E37" i="128" s="1"/>
  <c r="H37" i="128" s="1"/>
  <c r="I37" i="128" s="1"/>
  <c r="J37" i="128" s="1"/>
  <c r="L37" i="128" s="1"/>
  <c r="D37" i="129"/>
  <c r="E37" i="129" s="1"/>
  <c r="H37" i="129" s="1"/>
  <c r="I37" i="129" s="1"/>
  <c r="J37" i="129" s="1"/>
  <c r="L37" i="129" s="1"/>
  <c r="D37" i="127"/>
  <c r="E37" i="127" s="1"/>
  <c r="H37" i="127" s="1"/>
  <c r="I37" i="127" s="1"/>
  <c r="J37" i="127" s="1"/>
  <c r="L37" i="127" s="1"/>
  <c r="D37" i="120"/>
  <c r="E37" i="120" s="1"/>
  <c r="H37" i="120" s="1"/>
  <c r="D37" i="115"/>
  <c r="E37" i="115" s="1"/>
  <c r="H37" i="115" s="1"/>
  <c r="D37" i="116"/>
  <c r="E37" i="116" s="1"/>
  <c r="H37" i="116" s="1"/>
  <c r="D37" i="125"/>
  <c r="E37" i="125" s="1"/>
  <c r="H37" i="125" s="1"/>
  <c r="I37" i="125" s="1"/>
  <c r="J37" i="125" s="1"/>
  <c r="L37" i="125" s="1"/>
  <c r="D34" i="80"/>
  <c r="E34" i="80" s="1"/>
  <c r="H34" i="80" s="1"/>
  <c r="AQ70" i="1"/>
  <c r="AX70" i="1"/>
  <c r="AV70" i="1"/>
  <c r="I31" i="115"/>
  <c r="J31" i="115" s="1"/>
  <c r="L31" i="115" s="1"/>
  <c r="L31" i="33"/>
  <c r="I31" i="116"/>
  <c r="J31" i="116" s="1"/>
  <c r="L31" i="116" s="1"/>
  <c r="M31" i="33"/>
  <c r="I31" i="113"/>
  <c r="J31" i="113" s="1"/>
  <c r="L31" i="113" s="1"/>
  <c r="M31" i="113" s="1"/>
  <c r="J31" i="33"/>
  <c r="P31" i="33"/>
  <c r="I31" i="119"/>
  <c r="J31" i="119" s="1"/>
  <c r="L31" i="119" s="1"/>
  <c r="D67" i="118"/>
  <c r="E67" i="118" s="1"/>
  <c r="H67" i="118" s="1"/>
  <c r="D67" i="131"/>
  <c r="E67" i="131" s="1"/>
  <c r="H67" i="131" s="1"/>
  <c r="I67" i="131" s="1"/>
  <c r="J67" i="131" s="1"/>
  <c r="L67" i="131" s="1"/>
  <c r="D67" i="126"/>
  <c r="E67" i="126" s="1"/>
  <c r="H67" i="126" s="1"/>
  <c r="I67" i="126" s="1"/>
  <c r="J67" i="126" s="1"/>
  <c r="L67" i="126" s="1"/>
  <c r="D67" i="113"/>
  <c r="E67" i="113" s="1"/>
  <c r="H67" i="113" s="1"/>
  <c r="D67" i="129"/>
  <c r="E67" i="129" s="1"/>
  <c r="H67" i="129" s="1"/>
  <c r="I67" i="129" s="1"/>
  <c r="J67" i="129" s="1"/>
  <c r="L67" i="129" s="1"/>
  <c r="D67" i="127"/>
  <c r="E67" i="127" s="1"/>
  <c r="H67" i="127" s="1"/>
  <c r="I67" i="127" s="1"/>
  <c r="J67" i="127" s="1"/>
  <c r="L67" i="127" s="1"/>
  <c r="D67" i="128"/>
  <c r="E67" i="128" s="1"/>
  <c r="H67" i="128" s="1"/>
  <c r="I67" i="128" s="1"/>
  <c r="J67" i="128" s="1"/>
  <c r="L67" i="128" s="1"/>
  <c r="D67" i="125"/>
  <c r="E67" i="125" s="1"/>
  <c r="H67" i="125" s="1"/>
  <c r="I67" i="125" s="1"/>
  <c r="J67" i="125" s="1"/>
  <c r="L67" i="125" s="1"/>
  <c r="D67" i="115"/>
  <c r="E67" i="115" s="1"/>
  <c r="H67" i="115" s="1"/>
  <c r="D67" i="116"/>
  <c r="E67" i="116" s="1"/>
  <c r="H67" i="116" s="1"/>
  <c r="D64" i="80"/>
  <c r="E64" i="80" s="1"/>
  <c r="H64" i="80" s="1"/>
  <c r="J64" i="80" s="1"/>
  <c r="K64" i="80" s="1"/>
  <c r="M64" i="80" s="1"/>
  <c r="D64" i="76"/>
  <c r="E64" i="76" s="1"/>
  <c r="H64" i="76" s="1"/>
  <c r="J64" i="76" s="1"/>
  <c r="K64" i="76" s="1"/>
  <c r="M64" i="76" s="1"/>
  <c r="D67" i="117"/>
  <c r="E67" i="117" s="1"/>
  <c r="H67" i="117" s="1"/>
  <c r="D67" i="114"/>
  <c r="E67" i="114" s="1"/>
  <c r="H67" i="114" s="1"/>
  <c r="D67" i="120"/>
  <c r="E67" i="120" s="1"/>
  <c r="H67" i="120" s="1"/>
  <c r="D67" i="119"/>
  <c r="E67" i="119" s="1"/>
  <c r="H67" i="119" s="1"/>
  <c r="AQ50" i="1"/>
  <c r="AX50" i="1"/>
  <c r="AV50" i="1"/>
  <c r="N40" i="33"/>
  <c r="I40" i="117"/>
  <c r="J40" i="117" s="1"/>
  <c r="L40" i="117" s="1"/>
  <c r="I40" i="113"/>
  <c r="J40" i="113" s="1"/>
  <c r="L40" i="113" s="1"/>
  <c r="M40" i="113" s="1"/>
  <c r="J40" i="33"/>
  <c r="Q40" i="33"/>
  <c r="I40" i="120"/>
  <c r="J40" i="120" s="1"/>
  <c r="L40" i="120" s="1"/>
  <c r="AP58" i="1"/>
  <c r="BA58" i="1"/>
  <c r="C57" i="33"/>
  <c r="AW58" i="1"/>
  <c r="AC55" i="33"/>
  <c r="D55" i="67"/>
  <c r="E55" i="67" s="1"/>
  <c r="F55" i="67" s="1"/>
  <c r="G55" i="67" s="1"/>
  <c r="AX56" i="1"/>
  <c r="AV56" i="1"/>
  <c r="M70" i="127"/>
  <c r="V70" i="127" s="1"/>
  <c r="U70" i="127"/>
  <c r="I70" i="114"/>
  <c r="J70" i="114" s="1"/>
  <c r="L70" i="114" s="1"/>
  <c r="K70" i="33"/>
  <c r="O70" i="33"/>
  <c r="I70" i="118"/>
  <c r="J70" i="118" s="1"/>
  <c r="L70" i="118" s="1"/>
  <c r="AX65" i="1"/>
  <c r="AV65" i="1"/>
  <c r="AQ65" i="1"/>
  <c r="BA22" i="1"/>
  <c r="AW22" i="1"/>
  <c r="C21" i="33"/>
  <c r="AP22" i="1"/>
  <c r="I52" i="80"/>
  <c r="S55" i="33" s="1"/>
  <c r="I55" i="114"/>
  <c r="J55" i="114" s="1"/>
  <c r="L55" i="114" s="1"/>
  <c r="K55" i="33"/>
  <c r="O55" i="33"/>
  <c r="I55" i="118"/>
  <c r="J55" i="118" s="1"/>
  <c r="L55" i="118" s="1"/>
  <c r="I55" i="120"/>
  <c r="J55" i="120" s="1"/>
  <c r="L55" i="120" s="1"/>
  <c r="Q55" i="33"/>
  <c r="I55" i="113"/>
  <c r="J55" i="113" s="1"/>
  <c r="L55" i="113" s="1"/>
  <c r="M55" i="113" s="1"/>
  <c r="J55" i="33"/>
  <c r="U38" i="131"/>
  <c r="M38" i="131"/>
  <c r="V38" i="131" s="1"/>
  <c r="I38" i="115"/>
  <c r="J38" i="115" s="1"/>
  <c r="L38" i="115" s="1"/>
  <c r="L38" i="33"/>
  <c r="I38" i="116"/>
  <c r="J38" i="116" s="1"/>
  <c r="L38" i="116" s="1"/>
  <c r="M38" i="33"/>
  <c r="E35" i="76"/>
  <c r="H35" i="76" s="1"/>
  <c r="J35" i="76" s="1"/>
  <c r="K35" i="76" s="1"/>
  <c r="M35" i="76" s="1"/>
  <c r="I35" i="76"/>
  <c r="I49" i="116"/>
  <c r="J49" i="116" s="1"/>
  <c r="L49" i="116" s="1"/>
  <c r="M49" i="33"/>
  <c r="I49" i="114"/>
  <c r="J49" i="114" s="1"/>
  <c r="L49" i="114" s="1"/>
  <c r="K49" i="33"/>
  <c r="P49" i="33"/>
  <c r="I49" i="119"/>
  <c r="J49" i="119" s="1"/>
  <c r="L49" i="119" s="1"/>
  <c r="D24" i="131"/>
  <c r="E24" i="131" s="1"/>
  <c r="H24" i="131" s="1"/>
  <c r="I24" i="131" s="1"/>
  <c r="J24" i="131" s="1"/>
  <c r="L24" i="131" s="1"/>
  <c r="D24" i="119"/>
  <c r="E24" i="119" s="1"/>
  <c r="H24" i="119" s="1"/>
  <c r="D24" i="113"/>
  <c r="E24" i="113" s="1"/>
  <c r="H24" i="113" s="1"/>
  <c r="D24" i="117"/>
  <c r="E24" i="117" s="1"/>
  <c r="H24" i="117" s="1"/>
  <c r="D24" i="128"/>
  <c r="E24" i="128" s="1"/>
  <c r="H24" i="128" s="1"/>
  <c r="I24" i="128" s="1"/>
  <c r="J24" i="128" s="1"/>
  <c r="L24" i="128" s="1"/>
  <c r="D24" i="116"/>
  <c r="E24" i="116" s="1"/>
  <c r="H24" i="116" s="1"/>
  <c r="D24" i="120"/>
  <c r="E24" i="120" s="1"/>
  <c r="H24" i="120" s="1"/>
  <c r="D24" i="118"/>
  <c r="E24" i="118" s="1"/>
  <c r="H24" i="118" s="1"/>
  <c r="D21" i="80"/>
  <c r="D24" i="125"/>
  <c r="E24" i="125" s="1"/>
  <c r="H24" i="125" s="1"/>
  <c r="I24" i="125" s="1"/>
  <c r="J24" i="125" s="1"/>
  <c r="L24" i="125" s="1"/>
  <c r="D24" i="127"/>
  <c r="E24" i="127" s="1"/>
  <c r="H24" i="127" s="1"/>
  <c r="I24" i="127" s="1"/>
  <c r="J24" i="127" s="1"/>
  <c r="L24" i="127" s="1"/>
  <c r="D21" i="76"/>
  <c r="D24" i="129"/>
  <c r="E24" i="129" s="1"/>
  <c r="H24" i="129" s="1"/>
  <c r="I24" i="129" s="1"/>
  <c r="J24" i="129" s="1"/>
  <c r="L24" i="129" s="1"/>
  <c r="D24" i="115"/>
  <c r="E24" i="115" s="1"/>
  <c r="H24" i="115" s="1"/>
  <c r="D24" i="114"/>
  <c r="E24" i="114" s="1"/>
  <c r="H24" i="114" s="1"/>
  <c r="D24" i="126"/>
  <c r="E24" i="126" s="1"/>
  <c r="H24" i="126" s="1"/>
  <c r="I24" i="126" s="1"/>
  <c r="J24" i="126" s="1"/>
  <c r="L24" i="126" s="1"/>
  <c r="D8" i="117"/>
  <c r="E8" i="117" s="1"/>
  <c r="H8" i="117" s="1"/>
  <c r="D5" i="80"/>
  <c r="E5" i="80" s="1"/>
  <c r="H5" i="80" s="1"/>
  <c r="D8" i="118"/>
  <c r="E8" i="118" s="1"/>
  <c r="H8" i="118" s="1"/>
  <c r="D5" i="76"/>
  <c r="E5" i="76" s="1"/>
  <c r="H5" i="76" s="1"/>
  <c r="J5" i="76" s="1"/>
  <c r="K5" i="76" s="1"/>
  <c r="M5" i="76" s="1"/>
  <c r="D8" i="114"/>
  <c r="E8" i="114" s="1"/>
  <c r="H8" i="114" s="1"/>
  <c r="D8" i="115"/>
  <c r="E8" i="115" s="1"/>
  <c r="H8" i="115" s="1"/>
  <c r="D8" i="113"/>
  <c r="E8" i="113" s="1"/>
  <c r="H8" i="113" s="1"/>
  <c r="D8" i="126"/>
  <c r="E8" i="126" s="1"/>
  <c r="H8" i="126" s="1"/>
  <c r="I8" i="126" s="1"/>
  <c r="J8" i="126" s="1"/>
  <c r="L8" i="126" s="1"/>
  <c r="D8" i="129"/>
  <c r="E8" i="129" s="1"/>
  <c r="H8" i="129" s="1"/>
  <c r="I8" i="129" s="1"/>
  <c r="J8" i="129" s="1"/>
  <c r="L8" i="129" s="1"/>
  <c r="D8" i="125"/>
  <c r="E8" i="125" s="1"/>
  <c r="H8" i="125" s="1"/>
  <c r="I8" i="125" s="1"/>
  <c r="J8" i="125" s="1"/>
  <c r="L8" i="125" s="1"/>
  <c r="D8" i="127"/>
  <c r="E8" i="127" s="1"/>
  <c r="H8" i="127" s="1"/>
  <c r="I8" i="127" s="1"/>
  <c r="J8" i="127" s="1"/>
  <c r="L8" i="127" s="1"/>
  <c r="D8" i="120"/>
  <c r="E8" i="120" s="1"/>
  <c r="H8" i="120" s="1"/>
  <c r="D8" i="131"/>
  <c r="E8" i="131" s="1"/>
  <c r="H8" i="131" s="1"/>
  <c r="I8" i="131" s="1"/>
  <c r="J8" i="131" s="1"/>
  <c r="L8" i="131" s="1"/>
  <c r="D8" i="119"/>
  <c r="E8" i="119" s="1"/>
  <c r="H8" i="119" s="1"/>
  <c r="D8" i="116"/>
  <c r="E8" i="116" s="1"/>
  <c r="H8" i="116" s="1"/>
  <c r="D8" i="128"/>
  <c r="E8" i="128" s="1"/>
  <c r="H8" i="128" s="1"/>
  <c r="I8" i="128" s="1"/>
  <c r="J8" i="128" s="1"/>
  <c r="L8" i="128" s="1"/>
  <c r="D17" i="131"/>
  <c r="E17" i="131" s="1"/>
  <c r="H17" i="131" s="1"/>
  <c r="I17" i="131" s="1"/>
  <c r="J17" i="131" s="1"/>
  <c r="L17" i="131" s="1"/>
  <c r="D17" i="118"/>
  <c r="E17" i="118" s="1"/>
  <c r="H17" i="118" s="1"/>
  <c r="D17" i="117"/>
  <c r="E17" i="117" s="1"/>
  <c r="H17" i="117" s="1"/>
  <c r="D17" i="120"/>
  <c r="E17" i="120" s="1"/>
  <c r="H17" i="120" s="1"/>
  <c r="D17" i="119"/>
  <c r="E17" i="119" s="1"/>
  <c r="H17" i="119" s="1"/>
  <c r="D17" i="129"/>
  <c r="E17" i="129" s="1"/>
  <c r="H17" i="129" s="1"/>
  <c r="I17" i="129" s="1"/>
  <c r="J17" i="129" s="1"/>
  <c r="L17" i="129" s="1"/>
  <c r="D17" i="113"/>
  <c r="E17" i="113" s="1"/>
  <c r="H17" i="113" s="1"/>
  <c r="D17" i="116"/>
  <c r="E17" i="116" s="1"/>
  <c r="H17" i="116" s="1"/>
  <c r="D14" i="80"/>
  <c r="E14" i="80" s="1"/>
  <c r="H14" i="80" s="1"/>
  <c r="D17" i="115"/>
  <c r="E17" i="115" s="1"/>
  <c r="H17" i="115" s="1"/>
  <c r="D17" i="127"/>
  <c r="E17" i="127" s="1"/>
  <c r="H17" i="127" s="1"/>
  <c r="I17" i="127" s="1"/>
  <c r="J17" i="127" s="1"/>
  <c r="L17" i="127" s="1"/>
  <c r="D17" i="125"/>
  <c r="E17" i="125" s="1"/>
  <c r="H17" i="125" s="1"/>
  <c r="I17" i="125" s="1"/>
  <c r="J17" i="125" s="1"/>
  <c r="L17" i="125" s="1"/>
  <c r="D17" i="126"/>
  <c r="E17" i="126" s="1"/>
  <c r="H17" i="126" s="1"/>
  <c r="I17" i="126" s="1"/>
  <c r="J17" i="126" s="1"/>
  <c r="L17" i="126" s="1"/>
  <c r="D14" i="76"/>
  <c r="E14" i="76" s="1"/>
  <c r="H14" i="76" s="1"/>
  <c r="D17" i="114"/>
  <c r="E17" i="114" s="1"/>
  <c r="H17" i="114" s="1"/>
  <c r="D17" i="128"/>
  <c r="E17" i="128" s="1"/>
  <c r="H17" i="128" s="1"/>
  <c r="I17" i="128" s="1"/>
  <c r="J17" i="128" s="1"/>
  <c r="L17" i="128" s="1"/>
  <c r="I14" i="80"/>
  <c r="U69" i="126"/>
  <c r="M69" i="126"/>
  <c r="V69" i="126" s="1"/>
  <c r="U69" i="125"/>
  <c r="M69" i="125"/>
  <c r="V69" i="125" s="1"/>
  <c r="E66" i="80"/>
  <c r="H66" i="80" s="1"/>
  <c r="J66" i="80" s="1"/>
  <c r="K66" i="80" s="1"/>
  <c r="M66" i="80" s="1"/>
  <c r="I66" i="80"/>
  <c r="AP36" i="1"/>
  <c r="AW36" i="1"/>
  <c r="C35" i="33"/>
  <c r="BA36" i="1"/>
  <c r="I61" i="76"/>
  <c r="R64" i="33" s="1"/>
  <c r="N64" i="33"/>
  <c r="I64" i="117"/>
  <c r="J64" i="117" s="1"/>
  <c r="L64" i="117" s="1"/>
  <c r="I64" i="120"/>
  <c r="J64" i="120" s="1"/>
  <c r="L64" i="120" s="1"/>
  <c r="Q64" i="33"/>
  <c r="AW74" i="1"/>
  <c r="C73" i="33"/>
  <c r="AP74" i="1"/>
  <c r="BA74" i="1"/>
  <c r="AW19" i="1"/>
  <c r="BA19" i="1"/>
  <c r="AP19" i="1"/>
  <c r="C18" i="33"/>
  <c r="I37" i="80"/>
  <c r="S40" i="33" s="1"/>
  <c r="AQ32" i="1"/>
  <c r="AV32" i="1"/>
  <c r="AX32" i="1"/>
  <c r="BA12" i="1"/>
  <c r="AP12" i="1"/>
  <c r="C11" i="33"/>
  <c r="AW12" i="1"/>
  <c r="M23" i="131"/>
  <c r="V23" i="131" s="1"/>
  <c r="U23" i="131"/>
  <c r="Y15" i="46"/>
  <c r="O15" i="46"/>
  <c r="Z15" i="46" s="1"/>
  <c r="I23" i="119"/>
  <c r="J23" i="119" s="1"/>
  <c r="L23" i="119" s="1"/>
  <c r="P23" i="33"/>
  <c r="O23" i="33"/>
  <c r="I23" i="118"/>
  <c r="J23" i="118" s="1"/>
  <c r="L23" i="118" s="1"/>
  <c r="H10" i="46"/>
  <c r="E18" i="46"/>
  <c r="E19" i="46" s="1"/>
  <c r="U23" i="129"/>
  <c r="M23" i="129"/>
  <c r="V23" i="129" s="1"/>
  <c r="Y11" i="46"/>
  <c r="O11" i="46"/>
  <c r="Z11" i="46" s="1"/>
  <c r="AQ24" i="1"/>
  <c r="AV24" i="1"/>
  <c r="O13" i="46"/>
  <c r="Z13" i="46" s="1"/>
  <c r="Y13" i="46"/>
  <c r="Q23" i="33"/>
  <c r="I23" i="120"/>
  <c r="J23" i="120" s="1"/>
  <c r="L23" i="120" s="1"/>
  <c r="Y12" i="46"/>
  <c r="O12" i="46"/>
  <c r="Z12" i="46" s="1"/>
  <c r="I23" i="115"/>
  <c r="J23" i="115" s="1"/>
  <c r="L23" i="115" s="1"/>
  <c r="L23" i="33"/>
  <c r="I17" i="46"/>
  <c r="J17" i="46"/>
  <c r="J18" i="46" s="1"/>
  <c r="I23" i="114"/>
  <c r="J23" i="114" s="1"/>
  <c r="L23" i="114" s="1"/>
  <c r="K23" i="33"/>
  <c r="E20" i="76"/>
  <c r="H20" i="76" s="1"/>
  <c r="J20" i="76" s="1"/>
  <c r="K20" i="76" s="1"/>
  <c r="M20" i="76" s="1"/>
  <c r="I20" i="76"/>
  <c r="I23" i="113"/>
  <c r="J23" i="113" s="1"/>
  <c r="L23" i="113" s="1"/>
  <c r="M23" i="113" s="1"/>
  <c r="J23" i="33"/>
  <c r="AC23" i="33"/>
  <c r="D23" i="67"/>
  <c r="E23" i="67" s="1"/>
  <c r="F23" i="67" s="1"/>
  <c r="G23" i="67" s="1"/>
  <c r="Y14" i="46"/>
  <c r="O14" i="46"/>
  <c r="Z14" i="46" s="1"/>
  <c r="I23" i="116"/>
  <c r="J23" i="116" s="1"/>
  <c r="L23" i="116" s="1"/>
  <c r="M23" i="33"/>
  <c r="E20" i="80"/>
  <c r="H20" i="80" s="1"/>
  <c r="J20" i="80" s="1"/>
  <c r="K20" i="80" s="1"/>
  <c r="M20" i="80" s="1"/>
  <c r="I20" i="80"/>
  <c r="Y16" i="46"/>
  <c r="O16" i="46"/>
  <c r="Z16" i="46" s="1"/>
  <c r="N23" i="33"/>
  <c r="I23" i="117"/>
  <c r="J23" i="117" s="1"/>
  <c r="L23" i="117" s="1"/>
  <c r="H27" i="81"/>
  <c r="G27" i="81"/>
  <c r="E26" i="81"/>
  <c r="V77" i="1"/>
  <c r="AS16" i="1"/>
  <c r="AD16" i="1"/>
  <c r="AC77" i="1"/>
  <c r="E36" i="81" s="1"/>
  <c r="M10" i="137"/>
  <c r="V19" i="80"/>
  <c r="N19" i="80"/>
  <c r="W19" i="80" s="1"/>
  <c r="M22" i="120"/>
  <c r="V22" i="120" s="1"/>
  <c r="U22" i="120"/>
  <c r="M22" i="116"/>
  <c r="V22" i="116" s="1"/>
  <c r="U22" i="116"/>
  <c r="M22" i="114"/>
  <c r="V22" i="114" s="1"/>
  <c r="U22" i="114"/>
  <c r="V19" i="76"/>
  <c r="N19" i="76"/>
  <c r="W19" i="76" s="1"/>
  <c r="M22" i="118"/>
  <c r="V22" i="118" s="1"/>
  <c r="U22" i="118"/>
  <c r="U22" i="115"/>
  <c r="M22" i="115"/>
  <c r="V22" i="115" s="1"/>
  <c r="M22" i="119"/>
  <c r="V22" i="119" s="1"/>
  <c r="U22" i="119"/>
  <c r="U22" i="113"/>
  <c r="V22" i="113"/>
  <c r="T22" i="67"/>
  <c r="J22" i="67"/>
  <c r="K22" i="67" s="1"/>
  <c r="W22" i="67" s="1"/>
  <c r="M22" i="117"/>
  <c r="X22" i="117" s="1"/>
  <c r="O22" i="117"/>
  <c r="W22" i="117" s="1"/>
  <c r="T22" i="33"/>
  <c r="U22" i="33" s="1"/>
  <c r="X22" i="33" s="1"/>
  <c r="U74" i="113"/>
  <c r="V74" i="113"/>
  <c r="M74" i="127"/>
  <c r="V74" i="127" s="1"/>
  <c r="U74" i="127"/>
  <c r="U42" i="114"/>
  <c r="M42" i="114"/>
  <c r="V42" i="114" s="1"/>
  <c r="U12" i="118"/>
  <c r="M12" i="118"/>
  <c r="V12" i="118" s="1"/>
  <c r="O12" i="117"/>
  <c r="W12" i="117" s="1"/>
  <c r="M12" i="117"/>
  <c r="X12" i="117" s="1"/>
  <c r="U45" i="131"/>
  <c r="M45" i="131"/>
  <c r="V45" i="131" s="1"/>
  <c r="M74" i="119"/>
  <c r="V74" i="119" s="1"/>
  <c r="U74" i="119"/>
  <c r="J74" i="67"/>
  <c r="K74" i="67" s="1"/>
  <c r="W74" i="67" s="1"/>
  <c r="T74" i="67"/>
  <c r="M42" i="116"/>
  <c r="V42" i="116" s="1"/>
  <c r="U42" i="116"/>
  <c r="M12" i="116"/>
  <c r="V12" i="116" s="1"/>
  <c r="U12" i="116"/>
  <c r="H57" i="81"/>
  <c r="G57" i="81"/>
  <c r="M74" i="116"/>
  <c r="V74" i="116" s="1"/>
  <c r="U74" i="116"/>
  <c r="M61" i="116"/>
  <c r="V61" i="116" s="1"/>
  <c r="U61" i="116"/>
  <c r="V39" i="76"/>
  <c r="N39" i="76"/>
  <c r="W39" i="76" s="1"/>
  <c r="U61" i="114"/>
  <c r="M61" i="114"/>
  <c r="V61" i="114" s="1"/>
  <c r="M45" i="116"/>
  <c r="V45" i="116" s="1"/>
  <c r="U45" i="116"/>
  <c r="M45" i="115"/>
  <c r="V45" i="115" s="1"/>
  <c r="U45" i="115"/>
  <c r="V39" i="80"/>
  <c r="N39" i="80"/>
  <c r="W39" i="80" s="1"/>
  <c r="U42" i="113"/>
  <c r="V42" i="113"/>
  <c r="T61" i="33"/>
  <c r="U61" i="33" s="1"/>
  <c r="X61" i="33" s="1"/>
  <c r="M45" i="119"/>
  <c r="V45" i="119" s="1"/>
  <c r="U45" i="119"/>
  <c r="M74" i="117"/>
  <c r="X74" i="117" s="1"/>
  <c r="O74" i="117"/>
  <c r="W74" i="117" s="1"/>
  <c r="M61" i="119"/>
  <c r="V61" i="119" s="1"/>
  <c r="U61" i="119"/>
  <c r="U61" i="115"/>
  <c r="M61" i="115"/>
  <c r="V61" i="115" s="1"/>
  <c r="M12" i="114"/>
  <c r="V12" i="114" s="1"/>
  <c r="U12" i="114"/>
  <c r="V45" i="113"/>
  <c r="U45" i="113"/>
  <c r="M74" i="120"/>
  <c r="V74" i="120" s="1"/>
  <c r="U74" i="120"/>
  <c r="M45" i="114"/>
  <c r="V45" i="114" s="1"/>
  <c r="U45" i="114"/>
  <c r="AD63" i="33"/>
  <c r="AE63" i="33" s="1"/>
  <c r="V63" i="33"/>
  <c r="C62" i="72" s="1"/>
  <c r="J42" i="67"/>
  <c r="K42" i="67" s="1"/>
  <c r="W42" i="67" s="1"/>
  <c r="T42" i="67"/>
  <c r="U45" i="120"/>
  <c r="M45" i="120"/>
  <c r="V45" i="120" s="1"/>
  <c r="N71" i="76"/>
  <c r="W71" i="76" s="1"/>
  <c r="V71" i="76"/>
  <c r="M74" i="115"/>
  <c r="V74" i="115" s="1"/>
  <c r="U74" i="115"/>
  <c r="V61" i="113"/>
  <c r="U61" i="113"/>
  <c r="M12" i="119"/>
  <c r="V12" i="119" s="1"/>
  <c r="U12" i="119"/>
  <c r="J42" i="80"/>
  <c r="K42" i="80" s="1"/>
  <c r="M42" i="80" s="1"/>
  <c r="S45" i="33"/>
  <c r="O45" i="117"/>
  <c r="W45" i="117" s="1"/>
  <c r="M45" i="117"/>
  <c r="X45" i="117" s="1"/>
  <c r="Y23" i="46"/>
  <c r="O23" i="46"/>
  <c r="Z23" i="46" s="1"/>
  <c r="T12" i="33"/>
  <c r="U12" i="33" s="1"/>
  <c r="X12" i="33" s="1"/>
  <c r="M45" i="118"/>
  <c r="V45" i="118" s="1"/>
  <c r="U45" i="118"/>
  <c r="T12" i="67"/>
  <c r="J12" i="67"/>
  <c r="K12" i="67" s="1"/>
  <c r="W12" i="67" s="1"/>
  <c r="M61" i="120"/>
  <c r="V61" i="120" s="1"/>
  <c r="U61" i="120"/>
  <c r="T74" i="33"/>
  <c r="U74" i="33" s="1"/>
  <c r="X74" i="33" s="1"/>
  <c r="N58" i="80"/>
  <c r="W58" i="80" s="1"/>
  <c r="V58" i="80"/>
  <c r="U12" i="115"/>
  <c r="M12" i="115"/>
  <c r="V12" i="115" s="1"/>
  <c r="J45" i="67"/>
  <c r="K45" i="67" s="1"/>
  <c r="W45" i="67" s="1"/>
  <c r="T45" i="67"/>
  <c r="O61" i="117"/>
  <c r="W61" i="117" s="1"/>
  <c r="M61" i="117"/>
  <c r="X61" i="117" s="1"/>
  <c r="J61" i="67"/>
  <c r="K61" i="67" s="1"/>
  <c r="W61" i="67" s="1"/>
  <c r="T61" i="67"/>
  <c r="N58" i="76"/>
  <c r="W58" i="76" s="1"/>
  <c r="V58" i="76"/>
  <c r="U61" i="118"/>
  <c r="M61" i="118"/>
  <c r="V61" i="118" s="1"/>
  <c r="U12" i="113"/>
  <c r="V12" i="113"/>
  <c r="J42" i="76"/>
  <c r="K42" i="76" s="1"/>
  <c r="M42" i="76" s="1"/>
  <c r="R45" i="33"/>
  <c r="U74" i="118"/>
  <c r="M74" i="118"/>
  <c r="V74" i="118" s="1"/>
  <c r="M12" i="120"/>
  <c r="V12" i="120" s="1"/>
  <c r="U12" i="120"/>
  <c r="U74" i="114"/>
  <c r="M74" i="114"/>
  <c r="V74" i="114" s="1"/>
  <c r="AD71" i="33"/>
  <c r="AE71" i="33" s="1"/>
  <c r="V71" i="33"/>
  <c r="C70" i="72" s="1"/>
  <c r="AD59" i="33"/>
  <c r="AE59" i="33" s="1"/>
  <c r="R7" i="67"/>
  <c r="V6" i="100"/>
  <c r="AH8" i="1"/>
  <c r="AO8" i="1"/>
  <c r="AK8" i="1"/>
  <c r="Y45" i="72" l="1"/>
  <c r="AS45" i="72" s="1"/>
  <c r="Y70" i="72"/>
  <c r="AS70" i="72" s="1"/>
  <c r="Y62" i="72"/>
  <c r="AS62" i="72" s="1"/>
  <c r="V34" i="33"/>
  <c r="C33" i="72" s="1"/>
  <c r="C45" i="100"/>
  <c r="X45" i="100" s="1"/>
  <c r="V59" i="33"/>
  <c r="C58" i="72" s="1"/>
  <c r="I13" i="120"/>
  <c r="J13" i="120" s="1"/>
  <c r="L13" i="120" s="1"/>
  <c r="U42" i="120"/>
  <c r="M13" i="131"/>
  <c r="V13" i="131" s="1"/>
  <c r="I13" i="117"/>
  <c r="J13" i="117" s="1"/>
  <c r="L13" i="117" s="1"/>
  <c r="U19" i="128"/>
  <c r="U13" i="125"/>
  <c r="M73" i="125"/>
  <c r="V73" i="125" s="1"/>
  <c r="AD34" i="33"/>
  <c r="AE34" i="33" s="1"/>
  <c r="U13" i="126"/>
  <c r="I13" i="118"/>
  <c r="J13" i="118" s="1"/>
  <c r="L13" i="118" s="1"/>
  <c r="M13" i="118" s="1"/>
  <c r="V13" i="118" s="1"/>
  <c r="J13" i="33"/>
  <c r="M13" i="128"/>
  <c r="V13" i="128" s="1"/>
  <c r="O42" i="117"/>
  <c r="W42" i="117" s="1"/>
  <c r="I13" i="116"/>
  <c r="J13" i="116" s="1"/>
  <c r="L13" i="116" s="1"/>
  <c r="U13" i="116" s="1"/>
  <c r="M27" i="131"/>
  <c r="V27" i="131" s="1"/>
  <c r="I39" i="119"/>
  <c r="J39" i="119" s="1"/>
  <c r="L39" i="119" s="1"/>
  <c r="U39" i="119" s="1"/>
  <c r="U10" i="127"/>
  <c r="V58" i="33"/>
  <c r="C57" i="72" s="1"/>
  <c r="M14" i="125"/>
  <c r="V14" i="125" s="1"/>
  <c r="AX40" i="1"/>
  <c r="I10" i="76"/>
  <c r="R13" i="33" s="1"/>
  <c r="I51" i="80"/>
  <c r="S54" i="33" s="1"/>
  <c r="M10" i="129"/>
  <c r="V10" i="129" s="1"/>
  <c r="U25" i="129"/>
  <c r="M25" i="129"/>
  <c r="V25" i="129" s="1"/>
  <c r="I19" i="119"/>
  <c r="J19" i="119" s="1"/>
  <c r="L19" i="119" s="1"/>
  <c r="M19" i="119" s="1"/>
  <c r="V19" i="119" s="1"/>
  <c r="I64" i="76"/>
  <c r="R67" i="33" s="1"/>
  <c r="E24" i="76"/>
  <c r="H24" i="76" s="1"/>
  <c r="J24" i="76" s="1"/>
  <c r="K24" i="76" s="1"/>
  <c r="M24" i="76" s="1"/>
  <c r="V24" i="76" s="1"/>
  <c r="I25" i="117"/>
  <c r="J25" i="117" s="1"/>
  <c r="L25" i="117" s="1"/>
  <c r="N25" i="33"/>
  <c r="U25" i="128"/>
  <c r="M25" i="128"/>
  <c r="V25" i="128" s="1"/>
  <c r="I25" i="120"/>
  <c r="J25" i="120" s="1"/>
  <c r="L25" i="120" s="1"/>
  <c r="Q25" i="33"/>
  <c r="I25" i="118"/>
  <c r="J25" i="118" s="1"/>
  <c r="L25" i="118" s="1"/>
  <c r="O25" i="33"/>
  <c r="I25" i="114"/>
  <c r="J25" i="114" s="1"/>
  <c r="L25" i="114" s="1"/>
  <c r="K25" i="33"/>
  <c r="P25" i="33"/>
  <c r="I25" i="119"/>
  <c r="J25" i="119" s="1"/>
  <c r="L25" i="119" s="1"/>
  <c r="D27" i="67"/>
  <c r="E27" i="67" s="1"/>
  <c r="F27" i="67" s="1"/>
  <c r="G27" i="67" s="1"/>
  <c r="J27" i="67" s="1"/>
  <c r="K27" i="67" s="1"/>
  <c r="W27" i="67" s="1"/>
  <c r="J25" i="33"/>
  <c r="I25" i="113"/>
  <c r="J25" i="113" s="1"/>
  <c r="L25" i="113" s="1"/>
  <c r="M25" i="113" s="1"/>
  <c r="E22" i="80"/>
  <c r="H22" i="80" s="1"/>
  <c r="J22" i="80" s="1"/>
  <c r="K22" i="80" s="1"/>
  <c r="M22" i="80" s="1"/>
  <c r="I22" i="80"/>
  <c r="U25" i="125"/>
  <c r="M25" i="125"/>
  <c r="V25" i="125" s="1"/>
  <c r="L25" i="33"/>
  <c r="I25" i="115"/>
  <c r="J25" i="115" s="1"/>
  <c r="L25" i="115" s="1"/>
  <c r="AV26" i="1"/>
  <c r="AX26" i="1"/>
  <c r="M25" i="126"/>
  <c r="V25" i="126" s="1"/>
  <c r="U25" i="126"/>
  <c r="AC19" i="33"/>
  <c r="D25" i="67"/>
  <c r="E25" i="67" s="1"/>
  <c r="F25" i="67" s="1"/>
  <c r="G25" i="67" s="1"/>
  <c r="AC25" i="33"/>
  <c r="E22" i="76"/>
  <c r="H22" i="76" s="1"/>
  <c r="J22" i="76" s="1"/>
  <c r="K22" i="76" s="1"/>
  <c r="M22" i="76" s="1"/>
  <c r="I22" i="76"/>
  <c r="I25" i="116"/>
  <c r="J25" i="116" s="1"/>
  <c r="L25" i="116" s="1"/>
  <c r="M25" i="33"/>
  <c r="M25" i="127"/>
  <c r="V25" i="127" s="1"/>
  <c r="U25" i="127"/>
  <c r="U25" i="131"/>
  <c r="M25" i="131"/>
  <c r="V25" i="131" s="1"/>
  <c r="M44" i="127"/>
  <c r="V44" i="127" s="1"/>
  <c r="L39" i="33"/>
  <c r="P13" i="33"/>
  <c r="L27" i="33"/>
  <c r="I14" i="116"/>
  <c r="J14" i="116" s="1"/>
  <c r="L14" i="116" s="1"/>
  <c r="M14" i="116" s="1"/>
  <c r="V14" i="116" s="1"/>
  <c r="I39" i="118"/>
  <c r="J39" i="118" s="1"/>
  <c r="L39" i="118" s="1"/>
  <c r="M39" i="118" s="1"/>
  <c r="V39" i="118" s="1"/>
  <c r="U39" i="126"/>
  <c r="I41" i="76"/>
  <c r="R44" i="33" s="1"/>
  <c r="M42" i="118"/>
  <c r="V42" i="118" s="1"/>
  <c r="I10" i="80"/>
  <c r="S13" i="33" s="1"/>
  <c r="U50" i="131"/>
  <c r="I27" i="120"/>
  <c r="J27" i="120" s="1"/>
  <c r="L27" i="120" s="1"/>
  <c r="U27" i="120" s="1"/>
  <c r="AX15" i="1"/>
  <c r="I13" i="114"/>
  <c r="J13" i="114" s="1"/>
  <c r="L13" i="114" s="1"/>
  <c r="M13" i="114" s="1"/>
  <c r="V13" i="114" s="1"/>
  <c r="U14" i="126"/>
  <c r="I51" i="76"/>
  <c r="R54" i="33" s="1"/>
  <c r="AV15" i="1"/>
  <c r="AX20" i="1"/>
  <c r="I14" i="114"/>
  <c r="J14" i="114" s="1"/>
  <c r="L14" i="114" s="1"/>
  <c r="U14" i="114" s="1"/>
  <c r="N27" i="33"/>
  <c r="I27" i="118"/>
  <c r="J27" i="118" s="1"/>
  <c r="L27" i="118" s="1"/>
  <c r="M27" i="118" s="1"/>
  <c r="V27" i="118" s="1"/>
  <c r="U39" i="128"/>
  <c r="I33" i="76"/>
  <c r="R36" i="33" s="1"/>
  <c r="I33" i="80"/>
  <c r="S36" i="33" s="1"/>
  <c r="AV20" i="1"/>
  <c r="M19" i="129"/>
  <c r="V19" i="129" s="1"/>
  <c r="U39" i="131"/>
  <c r="J27" i="33"/>
  <c r="R62" i="33"/>
  <c r="M62" i="116"/>
  <c r="V62" i="116" s="1"/>
  <c r="U62" i="116"/>
  <c r="U36" i="128"/>
  <c r="M36" i="128"/>
  <c r="V36" i="128" s="1"/>
  <c r="I36" i="118"/>
  <c r="J36" i="118" s="1"/>
  <c r="L36" i="118" s="1"/>
  <c r="O36" i="33"/>
  <c r="I36" i="114"/>
  <c r="J36" i="114" s="1"/>
  <c r="L36" i="114" s="1"/>
  <c r="K36" i="33"/>
  <c r="U62" i="120"/>
  <c r="M62" i="120"/>
  <c r="V62" i="120" s="1"/>
  <c r="M62" i="118"/>
  <c r="V62" i="118" s="1"/>
  <c r="U62" i="118"/>
  <c r="U19" i="131"/>
  <c r="U27" i="125"/>
  <c r="I36" i="116"/>
  <c r="J36" i="116" s="1"/>
  <c r="L36" i="116" s="1"/>
  <c r="M36" i="33"/>
  <c r="M36" i="131"/>
  <c r="V36" i="131" s="1"/>
  <c r="U36" i="131"/>
  <c r="M42" i="115"/>
  <c r="V42" i="115" s="1"/>
  <c r="K39" i="33"/>
  <c r="M27" i="33"/>
  <c r="I14" i="113"/>
  <c r="J14" i="113" s="1"/>
  <c r="L14" i="113" s="1"/>
  <c r="M39" i="129"/>
  <c r="V39" i="129" s="1"/>
  <c r="I27" i="114"/>
  <c r="J27" i="114" s="1"/>
  <c r="L27" i="114" s="1"/>
  <c r="U27" i="114" s="1"/>
  <c r="I14" i="118"/>
  <c r="J14" i="118" s="1"/>
  <c r="L14" i="118" s="1"/>
  <c r="U14" i="118" s="1"/>
  <c r="U19" i="127"/>
  <c r="I39" i="113"/>
  <c r="J39" i="113" s="1"/>
  <c r="L39" i="113" s="1"/>
  <c r="M27" i="129"/>
  <c r="V27" i="129" s="1"/>
  <c r="S62" i="33"/>
  <c r="J36" i="33"/>
  <c r="I36" i="113"/>
  <c r="J36" i="113" s="1"/>
  <c r="L36" i="113" s="1"/>
  <c r="M36" i="113" s="1"/>
  <c r="M36" i="129"/>
  <c r="V36" i="129" s="1"/>
  <c r="U36" i="129"/>
  <c r="V33" i="80"/>
  <c r="N33" i="80"/>
  <c r="W33" i="80" s="1"/>
  <c r="V33" i="76"/>
  <c r="N33" i="76"/>
  <c r="W33" i="76" s="1"/>
  <c r="O62" i="117"/>
  <c r="W62" i="117" s="1"/>
  <c r="M62" i="117"/>
  <c r="X62" i="117" s="1"/>
  <c r="M62" i="115"/>
  <c r="V62" i="115" s="1"/>
  <c r="U62" i="115"/>
  <c r="N59" i="76"/>
  <c r="W59" i="76" s="1"/>
  <c r="V59" i="76"/>
  <c r="M36" i="125"/>
  <c r="V36" i="125" s="1"/>
  <c r="U36" i="125"/>
  <c r="AX37" i="1"/>
  <c r="AV37" i="1"/>
  <c r="M62" i="114"/>
  <c r="V62" i="114" s="1"/>
  <c r="U62" i="114"/>
  <c r="I36" i="80"/>
  <c r="S39" i="33" s="1"/>
  <c r="N36" i="80"/>
  <c r="W36" i="80" s="1"/>
  <c r="U36" i="126"/>
  <c r="M36" i="126"/>
  <c r="V36" i="126" s="1"/>
  <c r="U36" i="127"/>
  <c r="M36" i="127"/>
  <c r="V36" i="127" s="1"/>
  <c r="U62" i="113"/>
  <c r="V62" i="113"/>
  <c r="U18" i="131"/>
  <c r="U39" i="127"/>
  <c r="V59" i="80"/>
  <c r="N59" i="80"/>
  <c r="W59" i="80" s="1"/>
  <c r="I36" i="119"/>
  <c r="J36" i="119" s="1"/>
  <c r="L36" i="119" s="1"/>
  <c r="P36" i="33"/>
  <c r="Q36" i="33"/>
  <c r="I36" i="120"/>
  <c r="J36" i="120" s="1"/>
  <c r="L36" i="120" s="1"/>
  <c r="I36" i="115"/>
  <c r="J36" i="115" s="1"/>
  <c r="L36" i="115" s="1"/>
  <c r="L36" i="33"/>
  <c r="I36" i="117"/>
  <c r="J36" i="117" s="1"/>
  <c r="L36" i="117" s="1"/>
  <c r="N36" i="33"/>
  <c r="D36" i="67"/>
  <c r="E36" i="67" s="1"/>
  <c r="F36" i="67" s="1"/>
  <c r="G36" i="67" s="1"/>
  <c r="AC36" i="33"/>
  <c r="U62" i="119"/>
  <c r="M62" i="119"/>
  <c r="V62" i="119" s="1"/>
  <c r="J62" i="67"/>
  <c r="K62" i="67" s="1"/>
  <c r="W62" i="67" s="1"/>
  <c r="T62" i="67"/>
  <c r="AC14" i="33"/>
  <c r="Q14" i="33"/>
  <c r="T53" i="33"/>
  <c r="U53" i="33" s="1"/>
  <c r="X53" i="33" s="1"/>
  <c r="C52" i="100" s="1"/>
  <c r="X52" i="100" s="1"/>
  <c r="U27" i="128"/>
  <c r="M27" i="127"/>
  <c r="V27" i="127" s="1"/>
  <c r="U27" i="127"/>
  <c r="M20" i="131"/>
  <c r="V20" i="131" s="1"/>
  <c r="M42" i="119"/>
  <c r="V42" i="119" s="1"/>
  <c r="X58" i="33"/>
  <c r="J24" i="80"/>
  <c r="K24" i="80" s="1"/>
  <c r="M24" i="80" s="1"/>
  <c r="N24" i="80" s="1"/>
  <c r="W24" i="80" s="1"/>
  <c r="M27" i="126"/>
  <c r="V27" i="126" s="1"/>
  <c r="I19" i="116"/>
  <c r="J19" i="116" s="1"/>
  <c r="L19" i="116" s="1"/>
  <c r="U19" i="116" s="1"/>
  <c r="I24" i="80"/>
  <c r="S27" i="33" s="1"/>
  <c r="U53" i="116"/>
  <c r="I69" i="76"/>
  <c r="R72" i="33" s="1"/>
  <c r="I36" i="76"/>
  <c r="R39" i="33" s="1"/>
  <c r="E69" i="31"/>
  <c r="E70" i="31" s="1"/>
  <c r="E72" i="31" s="1"/>
  <c r="I39" i="120"/>
  <c r="J39" i="120" s="1"/>
  <c r="L39" i="120" s="1"/>
  <c r="U39" i="120" s="1"/>
  <c r="I16" i="76"/>
  <c r="R19" i="33" s="1"/>
  <c r="M18" i="128"/>
  <c r="V18" i="128" s="1"/>
  <c r="U53" i="118"/>
  <c r="I19" i="114"/>
  <c r="J19" i="114" s="1"/>
  <c r="L19" i="114" s="1"/>
  <c r="U19" i="114" s="1"/>
  <c r="I14" i="115"/>
  <c r="J14" i="115" s="1"/>
  <c r="L14" i="115" s="1"/>
  <c r="M14" i="115" s="1"/>
  <c r="V14" i="115" s="1"/>
  <c r="I16" i="80"/>
  <c r="S19" i="33" s="1"/>
  <c r="M39" i="125"/>
  <c r="V39" i="125" s="1"/>
  <c r="Q19" i="33"/>
  <c r="M53" i="115"/>
  <c r="V53" i="115" s="1"/>
  <c r="N41" i="80"/>
  <c r="W41" i="80" s="1"/>
  <c r="U53" i="119"/>
  <c r="I65" i="76"/>
  <c r="R68" i="33" s="1"/>
  <c r="N36" i="76"/>
  <c r="W36" i="76" s="1"/>
  <c r="V36" i="76"/>
  <c r="N53" i="76"/>
  <c r="W53" i="76" s="1"/>
  <c r="V53" i="76"/>
  <c r="I56" i="115"/>
  <c r="J56" i="115" s="1"/>
  <c r="L56" i="115" s="1"/>
  <c r="L56" i="33"/>
  <c r="I56" i="120"/>
  <c r="J56" i="120" s="1"/>
  <c r="L56" i="120" s="1"/>
  <c r="Q56" i="33"/>
  <c r="M14" i="129"/>
  <c r="V14" i="129" s="1"/>
  <c r="M56" i="129"/>
  <c r="V56" i="129" s="1"/>
  <c r="U56" i="129"/>
  <c r="U56" i="131"/>
  <c r="M56" i="131"/>
  <c r="V56" i="131" s="1"/>
  <c r="N44" i="76"/>
  <c r="W44" i="76" s="1"/>
  <c r="V41" i="76"/>
  <c r="N32" i="80"/>
  <c r="W32" i="80" s="1"/>
  <c r="I14" i="119"/>
  <c r="J14" i="119" s="1"/>
  <c r="L14" i="119" s="1"/>
  <c r="U14" i="119" s="1"/>
  <c r="I39" i="117"/>
  <c r="J39" i="117" s="1"/>
  <c r="L39" i="117" s="1"/>
  <c r="O39" i="117" s="1"/>
  <c r="W39" i="117" s="1"/>
  <c r="L19" i="33"/>
  <c r="I11" i="76"/>
  <c r="R14" i="33" s="1"/>
  <c r="J19" i="33"/>
  <c r="I27" i="80"/>
  <c r="S30" i="33" s="1"/>
  <c r="D56" i="67"/>
  <c r="E56" i="67" s="1"/>
  <c r="F56" i="67" s="1"/>
  <c r="G56" i="67" s="1"/>
  <c r="AC56" i="33"/>
  <c r="I53" i="80"/>
  <c r="J56" i="33"/>
  <c r="I56" i="113"/>
  <c r="J56" i="113" s="1"/>
  <c r="L56" i="113" s="1"/>
  <c r="M56" i="113" s="1"/>
  <c r="K56" i="33"/>
  <c r="I56" i="114"/>
  <c r="J56" i="114" s="1"/>
  <c r="L56" i="114" s="1"/>
  <c r="U56" i="126"/>
  <c r="M56" i="126"/>
  <c r="V56" i="126" s="1"/>
  <c r="J53" i="80"/>
  <c r="K53" i="80" s="1"/>
  <c r="M53" i="80" s="1"/>
  <c r="S56" i="33"/>
  <c r="I56" i="116"/>
  <c r="J56" i="116" s="1"/>
  <c r="L56" i="116" s="1"/>
  <c r="M56" i="33"/>
  <c r="U56" i="128"/>
  <c r="M56" i="128"/>
  <c r="V56" i="128" s="1"/>
  <c r="N56" i="33"/>
  <c r="I56" i="117"/>
  <c r="J56" i="117" s="1"/>
  <c r="L56" i="117" s="1"/>
  <c r="S38" i="33"/>
  <c r="O19" i="33"/>
  <c r="I25" i="80"/>
  <c r="AX57" i="1"/>
  <c r="AV57" i="1"/>
  <c r="M19" i="125"/>
  <c r="V19" i="125" s="1"/>
  <c r="U19" i="125"/>
  <c r="I53" i="76"/>
  <c r="R56" i="33" s="1"/>
  <c r="U56" i="127"/>
  <c r="M56" i="127"/>
  <c r="V56" i="127" s="1"/>
  <c r="P56" i="33"/>
  <c r="I56" i="119"/>
  <c r="J56" i="119" s="1"/>
  <c r="L56" i="119" s="1"/>
  <c r="O56" i="33"/>
  <c r="I56" i="118"/>
  <c r="J56" i="118" s="1"/>
  <c r="L56" i="118" s="1"/>
  <c r="M56" i="125"/>
  <c r="V56" i="125" s="1"/>
  <c r="U56" i="125"/>
  <c r="I72" i="113"/>
  <c r="J72" i="113" s="1"/>
  <c r="L72" i="113" s="1"/>
  <c r="M72" i="113" s="1"/>
  <c r="J72" i="33"/>
  <c r="I69" i="80"/>
  <c r="E69" i="80"/>
  <c r="H69" i="80" s="1"/>
  <c r="I72" i="119"/>
  <c r="J72" i="119" s="1"/>
  <c r="L72" i="119" s="1"/>
  <c r="P72" i="33"/>
  <c r="O28" i="33"/>
  <c r="I28" i="118"/>
  <c r="J28" i="118" s="1"/>
  <c r="L28" i="118" s="1"/>
  <c r="N28" i="33"/>
  <c r="I28" i="117"/>
  <c r="J28" i="117" s="1"/>
  <c r="L28" i="117" s="1"/>
  <c r="S28" i="33"/>
  <c r="J25" i="80"/>
  <c r="K25" i="80" s="1"/>
  <c r="M25" i="80" s="1"/>
  <c r="V25" i="76"/>
  <c r="N25" i="76"/>
  <c r="W25" i="76" s="1"/>
  <c r="I11" i="80"/>
  <c r="S14" i="33" s="1"/>
  <c r="I57" i="76"/>
  <c r="R60" i="33" s="1"/>
  <c r="N14" i="33"/>
  <c r="I48" i="76"/>
  <c r="R51" i="33" s="1"/>
  <c r="I72" i="115"/>
  <c r="J72" i="115" s="1"/>
  <c r="L72" i="115" s="1"/>
  <c r="L72" i="33"/>
  <c r="I72" i="114"/>
  <c r="J72" i="114" s="1"/>
  <c r="L72" i="114" s="1"/>
  <c r="K72" i="33"/>
  <c r="U72" i="125"/>
  <c r="M72" i="125"/>
  <c r="V72" i="125" s="1"/>
  <c r="M28" i="131"/>
  <c r="V28" i="131" s="1"/>
  <c r="U28" i="131"/>
  <c r="I28" i="115"/>
  <c r="J28" i="115" s="1"/>
  <c r="L28" i="115" s="1"/>
  <c r="L28" i="33"/>
  <c r="M28" i="33"/>
  <c r="I28" i="116"/>
  <c r="J28" i="116" s="1"/>
  <c r="L28" i="116" s="1"/>
  <c r="P28" i="33"/>
  <c r="I28" i="119"/>
  <c r="J28" i="119" s="1"/>
  <c r="L28" i="119" s="1"/>
  <c r="M14" i="127"/>
  <c r="V14" i="127" s="1"/>
  <c r="U14" i="127"/>
  <c r="AC72" i="33"/>
  <c r="D72" i="67"/>
  <c r="E72" i="67" s="1"/>
  <c r="F72" i="67" s="1"/>
  <c r="G72" i="67" s="1"/>
  <c r="AC28" i="33"/>
  <c r="D28" i="67"/>
  <c r="E28" i="67" s="1"/>
  <c r="F28" i="67" s="1"/>
  <c r="G28" i="67" s="1"/>
  <c r="Q72" i="33"/>
  <c r="I72" i="120"/>
  <c r="J72" i="120" s="1"/>
  <c r="L72" i="120" s="1"/>
  <c r="I72" i="118"/>
  <c r="J72" i="118" s="1"/>
  <c r="L72" i="118" s="1"/>
  <c r="O72" i="33"/>
  <c r="M72" i="128"/>
  <c r="V72" i="128" s="1"/>
  <c r="U72" i="128"/>
  <c r="U72" i="126"/>
  <c r="M72" i="126"/>
  <c r="V72" i="126" s="1"/>
  <c r="I28" i="113"/>
  <c r="J28" i="113" s="1"/>
  <c r="L28" i="113" s="1"/>
  <c r="M28" i="113" s="1"/>
  <c r="J28" i="33"/>
  <c r="U28" i="126"/>
  <c r="M28" i="126"/>
  <c r="V28" i="126" s="1"/>
  <c r="M28" i="127"/>
  <c r="V28" i="127" s="1"/>
  <c r="U28" i="127"/>
  <c r="Q28" i="33"/>
  <c r="I28" i="120"/>
  <c r="J28" i="120" s="1"/>
  <c r="L28" i="120" s="1"/>
  <c r="AV29" i="1"/>
  <c r="AX29" i="1"/>
  <c r="N72" i="33"/>
  <c r="I72" i="117"/>
  <c r="J72" i="117" s="1"/>
  <c r="L72" i="117" s="1"/>
  <c r="I8" i="76"/>
  <c r="R11" i="33" s="1"/>
  <c r="I32" i="80"/>
  <c r="S35" i="33" s="1"/>
  <c r="U14" i="131"/>
  <c r="I27" i="76"/>
  <c r="R30" i="33" s="1"/>
  <c r="I48" i="80"/>
  <c r="S51" i="33" s="1"/>
  <c r="M72" i="129"/>
  <c r="V72" i="129" s="1"/>
  <c r="U72" i="129"/>
  <c r="U72" i="131"/>
  <c r="M72" i="131"/>
  <c r="V72" i="131" s="1"/>
  <c r="M72" i="33"/>
  <c r="I72" i="116"/>
  <c r="J72" i="116" s="1"/>
  <c r="L72" i="116" s="1"/>
  <c r="U72" i="127"/>
  <c r="M72" i="127"/>
  <c r="V72" i="127" s="1"/>
  <c r="J69" i="76"/>
  <c r="K69" i="76" s="1"/>
  <c r="M69" i="76" s="1"/>
  <c r="M28" i="129"/>
  <c r="V28" i="129" s="1"/>
  <c r="U28" i="129"/>
  <c r="U28" i="125"/>
  <c r="M28" i="125"/>
  <c r="V28" i="125" s="1"/>
  <c r="K28" i="33"/>
  <c r="I28" i="114"/>
  <c r="J28" i="114" s="1"/>
  <c r="L28" i="114" s="1"/>
  <c r="U28" i="128"/>
  <c r="M28" i="128"/>
  <c r="V28" i="128" s="1"/>
  <c r="AV73" i="1"/>
  <c r="AQ73" i="1"/>
  <c r="AX73" i="1"/>
  <c r="M30" i="126"/>
  <c r="V30" i="126" s="1"/>
  <c r="U30" i="126"/>
  <c r="I30" i="117"/>
  <c r="J30" i="117" s="1"/>
  <c r="L30" i="117" s="1"/>
  <c r="N30" i="33"/>
  <c r="Q52" i="33"/>
  <c r="I52" i="120"/>
  <c r="J52" i="120" s="1"/>
  <c r="L52" i="120" s="1"/>
  <c r="I52" i="115"/>
  <c r="J52" i="115" s="1"/>
  <c r="L52" i="115" s="1"/>
  <c r="L52" i="33"/>
  <c r="M52" i="126"/>
  <c r="V52" i="126" s="1"/>
  <c r="U52" i="126"/>
  <c r="AC10" i="33"/>
  <c r="D10" i="67"/>
  <c r="E10" i="67" s="1"/>
  <c r="F10" i="67" s="1"/>
  <c r="G10" i="67" s="1"/>
  <c r="U10" i="131"/>
  <c r="M10" i="131"/>
  <c r="V10" i="131" s="1"/>
  <c r="J10" i="33"/>
  <c r="I10" i="113"/>
  <c r="J10" i="113" s="1"/>
  <c r="L10" i="113" s="1"/>
  <c r="M10" i="113" s="1"/>
  <c r="U20" i="127"/>
  <c r="M20" i="127"/>
  <c r="V20" i="127" s="1"/>
  <c r="I51" i="118"/>
  <c r="J51" i="118" s="1"/>
  <c r="L51" i="118" s="1"/>
  <c r="O51" i="33"/>
  <c r="U51" i="129"/>
  <c r="M51" i="129"/>
  <c r="V51" i="129" s="1"/>
  <c r="N19" i="33"/>
  <c r="U30" i="128"/>
  <c r="M30" i="128"/>
  <c r="V30" i="128" s="1"/>
  <c r="L30" i="33"/>
  <c r="I30" i="115"/>
  <c r="J30" i="115" s="1"/>
  <c r="L30" i="115" s="1"/>
  <c r="M52" i="131"/>
  <c r="V52" i="131" s="1"/>
  <c r="U52" i="131"/>
  <c r="I52" i="117"/>
  <c r="J52" i="117" s="1"/>
  <c r="L52" i="117" s="1"/>
  <c r="N52" i="33"/>
  <c r="M52" i="33"/>
  <c r="I52" i="116"/>
  <c r="J52" i="116" s="1"/>
  <c r="L52" i="116" s="1"/>
  <c r="N10" i="33"/>
  <c r="I10" i="117"/>
  <c r="J10" i="117" s="1"/>
  <c r="L10" i="117" s="1"/>
  <c r="I10" i="119"/>
  <c r="J10" i="119" s="1"/>
  <c r="L10" i="119" s="1"/>
  <c r="P10" i="33"/>
  <c r="D51" i="67"/>
  <c r="E51" i="67" s="1"/>
  <c r="F51" i="67" s="1"/>
  <c r="G51" i="67" s="1"/>
  <c r="AC51" i="33"/>
  <c r="M20" i="129"/>
  <c r="V20" i="129" s="1"/>
  <c r="U20" i="129"/>
  <c r="I51" i="115"/>
  <c r="J51" i="115" s="1"/>
  <c r="L51" i="115" s="1"/>
  <c r="L51" i="33"/>
  <c r="I15" i="137"/>
  <c r="J15" i="137" s="1"/>
  <c r="M15" i="137" s="1"/>
  <c r="N15" i="137" s="1"/>
  <c r="U10" i="128"/>
  <c r="M10" i="126"/>
  <c r="V10" i="126" s="1"/>
  <c r="U18" i="125"/>
  <c r="M50" i="125"/>
  <c r="V50" i="125" s="1"/>
  <c r="N47" i="80"/>
  <c r="W47" i="80" s="1"/>
  <c r="M43" i="129"/>
  <c r="V43" i="129" s="1"/>
  <c r="S69" i="33"/>
  <c r="I45" i="80"/>
  <c r="S48" i="33" s="1"/>
  <c r="S64" i="33"/>
  <c r="T64" i="33" s="1"/>
  <c r="U64" i="33" s="1"/>
  <c r="I47" i="80"/>
  <c r="S50" i="33" s="1"/>
  <c r="AQ53" i="1"/>
  <c r="AX53" i="1"/>
  <c r="AV53" i="1"/>
  <c r="M30" i="125"/>
  <c r="V30" i="125" s="1"/>
  <c r="U30" i="125"/>
  <c r="M30" i="127"/>
  <c r="V30" i="127" s="1"/>
  <c r="U30" i="127"/>
  <c r="I30" i="113"/>
  <c r="J30" i="113" s="1"/>
  <c r="L30" i="113" s="1"/>
  <c r="M30" i="113" s="1"/>
  <c r="J30" i="33"/>
  <c r="Q30" i="33"/>
  <c r="I30" i="120"/>
  <c r="J30" i="120" s="1"/>
  <c r="L30" i="120" s="1"/>
  <c r="I49" i="76"/>
  <c r="R52" i="33" s="1"/>
  <c r="I52" i="119"/>
  <c r="J52" i="119" s="1"/>
  <c r="L52" i="119" s="1"/>
  <c r="P52" i="33"/>
  <c r="I52" i="114"/>
  <c r="J52" i="114" s="1"/>
  <c r="L52" i="114" s="1"/>
  <c r="K52" i="33"/>
  <c r="I52" i="33"/>
  <c r="L35" i="46"/>
  <c r="N35" i="46" s="1"/>
  <c r="E59" i="81"/>
  <c r="M52" i="127"/>
  <c r="V52" i="127" s="1"/>
  <c r="U52" i="127"/>
  <c r="I41" i="80"/>
  <c r="S44" i="33" s="1"/>
  <c r="D30" i="67"/>
  <c r="E30" i="67" s="1"/>
  <c r="F30" i="67" s="1"/>
  <c r="G30" i="67" s="1"/>
  <c r="AC30" i="33"/>
  <c r="Q10" i="33"/>
  <c r="I10" i="120"/>
  <c r="J10" i="120" s="1"/>
  <c r="L10" i="120" s="1"/>
  <c r="E7" i="80"/>
  <c r="H7" i="80" s="1"/>
  <c r="J7" i="80" s="1"/>
  <c r="K7" i="80" s="1"/>
  <c r="M7" i="80" s="1"/>
  <c r="I7" i="80"/>
  <c r="O10" i="33"/>
  <c r="I10" i="118"/>
  <c r="J10" i="118" s="1"/>
  <c r="L10" i="118" s="1"/>
  <c r="M10" i="125"/>
  <c r="V10" i="125" s="1"/>
  <c r="U10" i="125"/>
  <c r="AV52" i="1"/>
  <c r="AX52" i="1"/>
  <c r="I20" i="120"/>
  <c r="J20" i="120" s="1"/>
  <c r="L20" i="120" s="1"/>
  <c r="Q20" i="33"/>
  <c r="U20" i="126"/>
  <c r="M20" i="126"/>
  <c r="V20" i="126" s="1"/>
  <c r="I20" i="118"/>
  <c r="J20" i="118" s="1"/>
  <c r="L20" i="118" s="1"/>
  <c r="O20" i="33"/>
  <c r="I20" i="116"/>
  <c r="J20" i="116" s="1"/>
  <c r="L20" i="116" s="1"/>
  <c r="M20" i="33"/>
  <c r="I51" i="113"/>
  <c r="J51" i="113" s="1"/>
  <c r="L51" i="113" s="1"/>
  <c r="M51" i="113" s="1"/>
  <c r="J51" i="33"/>
  <c r="M51" i="125"/>
  <c r="V51" i="125" s="1"/>
  <c r="U51" i="125"/>
  <c r="M51" i="128"/>
  <c r="V51" i="128" s="1"/>
  <c r="U51" i="128"/>
  <c r="V48" i="76"/>
  <c r="N48" i="76"/>
  <c r="W48" i="76" s="1"/>
  <c r="L44" i="33"/>
  <c r="I44" i="115"/>
  <c r="J44" i="115" s="1"/>
  <c r="L44" i="115" s="1"/>
  <c r="I44" i="113"/>
  <c r="J44" i="113" s="1"/>
  <c r="L44" i="113" s="1"/>
  <c r="M44" i="113" s="1"/>
  <c r="J44" i="33"/>
  <c r="Q44" i="33"/>
  <c r="I44" i="120"/>
  <c r="J44" i="120" s="1"/>
  <c r="L44" i="120" s="1"/>
  <c r="P44" i="33"/>
  <c r="I44" i="119"/>
  <c r="J44" i="119" s="1"/>
  <c r="L44" i="119" s="1"/>
  <c r="M30" i="129"/>
  <c r="V30" i="129" s="1"/>
  <c r="U30" i="129"/>
  <c r="K30" i="33"/>
  <c r="I30" i="114"/>
  <c r="J30" i="114" s="1"/>
  <c r="L30" i="114" s="1"/>
  <c r="J52" i="33"/>
  <c r="I52" i="113"/>
  <c r="J52" i="113" s="1"/>
  <c r="L52" i="113" s="1"/>
  <c r="M52" i="113" s="1"/>
  <c r="N49" i="80"/>
  <c r="W49" i="80" s="1"/>
  <c r="V49" i="80"/>
  <c r="AQ21" i="1"/>
  <c r="AX21" i="1"/>
  <c r="AV21" i="1"/>
  <c r="AX31" i="1"/>
  <c r="AV31" i="1"/>
  <c r="D44" i="67"/>
  <c r="E44" i="67" s="1"/>
  <c r="F44" i="67" s="1"/>
  <c r="G44" i="67" s="1"/>
  <c r="AC44" i="33"/>
  <c r="U20" i="128"/>
  <c r="M20" i="128"/>
  <c r="V20" i="128" s="1"/>
  <c r="I20" i="119"/>
  <c r="J20" i="119" s="1"/>
  <c r="L20" i="119" s="1"/>
  <c r="P20" i="33"/>
  <c r="J20" i="33"/>
  <c r="I20" i="113"/>
  <c r="J20" i="113" s="1"/>
  <c r="L20" i="113" s="1"/>
  <c r="M20" i="113" s="1"/>
  <c r="P51" i="33"/>
  <c r="I51" i="119"/>
  <c r="J51" i="119" s="1"/>
  <c r="L51" i="119" s="1"/>
  <c r="U51" i="131"/>
  <c r="M51" i="131"/>
  <c r="V51" i="131" s="1"/>
  <c r="M44" i="33"/>
  <c r="I44" i="116"/>
  <c r="J44" i="116" s="1"/>
  <c r="L44" i="116" s="1"/>
  <c r="M44" i="129"/>
  <c r="V44" i="129" s="1"/>
  <c r="U44" i="129"/>
  <c r="I44" i="118"/>
  <c r="J44" i="118" s="1"/>
  <c r="L44" i="118" s="1"/>
  <c r="O44" i="33"/>
  <c r="I13" i="76"/>
  <c r="R16" i="33" s="1"/>
  <c r="N27" i="76"/>
  <c r="W27" i="76" s="1"/>
  <c r="V27" i="76"/>
  <c r="I30" i="118"/>
  <c r="J30" i="118" s="1"/>
  <c r="L30" i="118" s="1"/>
  <c r="O30" i="33"/>
  <c r="M52" i="125"/>
  <c r="V52" i="125" s="1"/>
  <c r="U52" i="125"/>
  <c r="N49" i="76"/>
  <c r="W49" i="76" s="1"/>
  <c r="V49" i="76"/>
  <c r="L10" i="33"/>
  <c r="I10" i="115"/>
  <c r="J10" i="115" s="1"/>
  <c r="L10" i="115" s="1"/>
  <c r="U20" i="125"/>
  <c r="M20" i="125"/>
  <c r="V20" i="125" s="1"/>
  <c r="I20" i="114"/>
  <c r="J20" i="114" s="1"/>
  <c r="L20" i="114" s="1"/>
  <c r="K20" i="33"/>
  <c r="E17" i="76"/>
  <c r="H17" i="76" s="1"/>
  <c r="J17" i="76" s="1"/>
  <c r="K17" i="76" s="1"/>
  <c r="M17" i="76" s="1"/>
  <c r="I17" i="76"/>
  <c r="K51" i="33"/>
  <c r="I51" i="114"/>
  <c r="J51" i="114" s="1"/>
  <c r="L51" i="114" s="1"/>
  <c r="V48" i="80"/>
  <c r="N48" i="80"/>
  <c r="W48" i="80" s="1"/>
  <c r="I51" i="120"/>
  <c r="J51" i="120" s="1"/>
  <c r="L51" i="120" s="1"/>
  <c r="Q51" i="33"/>
  <c r="U44" i="126"/>
  <c r="M44" i="126"/>
  <c r="V44" i="126" s="1"/>
  <c r="M44" i="131"/>
  <c r="V44" i="131" s="1"/>
  <c r="U44" i="131"/>
  <c r="U44" i="128"/>
  <c r="M44" i="128"/>
  <c r="V44" i="128" s="1"/>
  <c r="I44" i="117"/>
  <c r="J44" i="117" s="1"/>
  <c r="L44" i="117" s="1"/>
  <c r="N44" i="33"/>
  <c r="R38" i="33"/>
  <c r="R31" i="33"/>
  <c r="I30" i="80"/>
  <c r="S33" i="33" s="1"/>
  <c r="I57" i="80"/>
  <c r="S60" i="33" s="1"/>
  <c r="R69" i="33"/>
  <c r="I62" i="76"/>
  <c r="R65" i="33" s="1"/>
  <c r="AC52" i="33"/>
  <c r="D52" i="67"/>
  <c r="E52" i="67" s="1"/>
  <c r="F52" i="67" s="1"/>
  <c r="G52" i="67" s="1"/>
  <c r="N27" i="80"/>
  <c r="W27" i="80" s="1"/>
  <c r="V27" i="80"/>
  <c r="I30" i="116"/>
  <c r="J30" i="116" s="1"/>
  <c r="L30" i="116" s="1"/>
  <c r="M30" i="33"/>
  <c r="M30" i="131"/>
  <c r="V30" i="131" s="1"/>
  <c r="U30" i="131"/>
  <c r="P30" i="33"/>
  <c r="I30" i="119"/>
  <c r="J30" i="119" s="1"/>
  <c r="L30" i="119" s="1"/>
  <c r="I49" i="80"/>
  <c r="S52" i="33" s="1"/>
  <c r="U52" i="128"/>
  <c r="M52" i="128"/>
  <c r="V52" i="128" s="1"/>
  <c r="I52" i="118"/>
  <c r="J52" i="118" s="1"/>
  <c r="L52" i="118" s="1"/>
  <c r="O52" i="33"/>
  <c r="U52" i="129"/>
  <c r="M52" i="129"/>
  <c r="V52" i="129" s="1"/>
  <c r="H33" i="46"/>
  <c r="H36" i="46" s="1"/>
  <c r="E36" i="46"/>
  <c r="AQ11" i="1"/>
  <c r="AX11" i="1"/>
  <c r="AV11" i="1"/>
  <c r="D20" i="67"/>
  <c r="E20" i="67" s="1"/>
  <c r="F20" i="67" s="1"/>
  <c r="G20" i="67" s="1"/>
  <c r="AC20" i="33"/>
  <c r="AQ31" i="1"/>
  <c r="AV45" i="1"/>
  <c r="AX45" i="1"/>
  <c r="AQ45" i="1"/>
  <c r="I10" i="116"/>
  <c r="J10" i="116" s="1"/>
  <c r="L10" i="116" s="1"/>
  <c r="M10" i="33"/>
  <c r="E7" i="76"/>
  <c r="H7" i="76" s="1"/>
  <c r="J7" i="76" s="1"/>
  <c r="K7" i="76" s="1"/>
  <c r="M7" i="76" s="1"/>
  <c r="I7" i="76"/>
  <c r="I10" i="114"/>
  <c r="J10" i="114" s="1"/>
  <c r="L10" i="114" s="1"/>
  <c r="K10" i="33"/>
  <c r="L20" i="33"/>
  <c r="I20" i="115"/>
  <c r="J20" i="115" s="1"/>
  <c r="L20" i="115" s="1"/>
  <c r="E17" i="80"/>
  <c r="H17" i="80" s="1"/>
  <c r="J17" i="80" s="1"/>
  <c r="K17" i="80" s="1"/>
  <c r="M17" i="80" s="1"/>
  <c r="I17" i="80"/>
  <c r="I20" i="117"/>
  <c r="J20" i="117" s="1"/>
  <c r="L20" i="117" s="1"/>
  <c r="N20" i="33"/>
  <c r="M51" i="33"/>
  <c r="I51" i="116"/>
  <c r="J51" i="116" s="1"/>
  <c r="L51" i="116" s="1"/>
  <c r="I51" i="117"/>
  <c r="J51" i="117" s="1"/>
  <c r="L51" i="117" s="1"/>
  <c r="N51" i="33"/>
  <c r="U51" i="127"/>
  <c r="M51" i="127"/>
  <c r="V51" i="127" s="1"/>
  <c r="U51" i="126"/>
  <c r="M51" i="126"/>
  <c r="V51" i="126" s="1"/>
  <c r="K44" i="33"/>
  <c r="I44" i="114"/>
  <c r="J44" i="114" s="1"/>
  <c r="L44" i="114" s="1"/>
  <c r="M44" i="125"/>
  <c r="V44" i="125" s="1"/>
  <c r="U44" i="125"/>
  <c r="M64" i="120"/>
  <c r="V64" i="120" s="1"/>
  <c r="U64" i="120"/>
  <c r="M17" i="125"/>
  <c r="V17" i="125" s="1"/>
  <c r="U17" i="125"/>
  <c r="I17" i="120"/>
  <c r="J17" i="120" s="1"/>
  <c r="L17" i="120" s="1"/>
  <c r="Q17" i="33"/>
  <c r="Q8" i="33"/>
  <c r="I8" i="120"/>
  <c r="J8" i="120" s="1"/>
  <c r="L8" i="120" s="1"/>
  <c r="N5" i="76"/>
  <c r="W5" i="76" s="1"/>
  <c r="V5" i="76"/>
  <c r="O24" i="33"/>
  <c r="I24" i="118"/>
  <c r="J24" i="118" s="1"/>
  <c r="L24" i="118" s="1"/>
  <c r="U49" i="119"/>
  <c r="M49" i="119"/>
  <c r="V49" i="119" s="1"/>
  <c r="U40" i="120"/>
  <c r="M40" i="120"/>
  <c r="V40" i="120" s="1"/>
  <c r="M40" i="117"/>
  <c r="X40" i="117" s="1"/>
  <c r="O40" i="117"/>
  <c r="W40" i="117" s="1"/>
  <c r="Q67" i="33"/>
  <c r="I67" i="120"/>
  <c r="J67" i="120" s="1"/>
  <c r="L67" i="120" s="1"/>
  <c r="U67" i="126"/>
  <c r="M67" i="126"/>
  <c r="V67" i="126" s="1"/>
  <c r="M31" i="116"/>
  <c r="V31" i="116" s="1"/>
  <c r="U31" i="116"/>
  <c r="I37" i="120"/>
  <c r="J37" i="120" s="1"/>
  <c r="L37" i="120" s="1"/>
  <c r="Q37" i="33"/>
  <c r="I37" i="113"/>
  <c r="J37" i="113" s="1"/>
  <c r="L37" i="113" s="1"/>
  <c r="M37" i="113" s="1"/>
  <c r="J37" i="33"/>
  <c r="D54" i="67"/>
  <c r="E54" i="67" s="1"/>
  <c r="F54" i="67" s="1"/>
  <c r="G54" i="67" s="1"/>
  <c r="AC54" i="33"/>
  <c r="U35" i="127"/>
  <c r="M35" i="127"/>
  <c r="V35" i="127" s="1"/>
  <c r="J14" i="67"/>
  <c r="K14" i="67" s="1"/>
  <c r="W14" i="67" s="1"/>
  <c r="T14" i="67"/>
  <c r="D24" i="67"/>
  <c r="E24" i="67" s="1"/>
  <c r="F24" i="67" s="1"/>
  <c r="G24" i="67" s="1"/>
  <c r="AC24" i="33"/>
  <c r="M47" i="129"/>
  <c r="V47" i="129" s="1"/>
  <c r="U47" i="129"/>
  <c r="M47" i="131"/>
  <c r="V47" i="131" s="1"/>
  <c r="U47" i="131"/>
  <c r="E40" i="80"/>
  <c r="H40" i="80" s="1"/>
  <c r="J40" i="80" s="1"/>
  <c r="K40" i="80" s="1"/>
  <c r="M40" i="80" s="1"/>
  <c r="I40" i="80"/>
  <c r="V28" i="80"/>
  <c r="N28" i="80"/>
  <c r="W28" i="80" s="1"/>
  <c r="U16" i="127"/>
  <c r="M16" i="127"/>
  <c r="V16" i="127" s="1"/>
  <c r="I16" i="116"/>
  <c r="J16" i="116" s="1"/>
  <c r="L16" i="116" s="1"/>
  <c r="M16" i="33"/>
  <c r="M18" i="129"/>
  <c r="V18" i="129" s="1"/>
  <c r="U18" i="129"/>
  <c r="L18" i="33"/>
  <c r="I18" i="115"/>
  <c r="J18" i="115" s="1"/>
  <c r="L18" i="115" s="1"/>
  <c r="I18" i="114"/>
  <c r="J18" i="114" s="1"/>
  <c r="L18" i="114" s="1"/>
  <c r="K18" i="33"/>
  <c r="M73" i="127"/>
  <c r="V73" i="127" s="1"/>
  <c r="U73" i="127"/>
  <c r="I73" i="113"/>
  <c r="J73" i="113" s="1"/>
  <c r="L73" i="113" s="1"/>
  <c r="M73" i="113" s="1"/>
  <c r="J73" i="33"/>
  <c r="M64" i="114"/>
  <c r="V64" i="114" s="1"/>
  <c r="U64" i="114"/>
  <c r="N9" i="33"/>
  <c r="I9" i="117"/>
  <c r="J9" i="117" s="1"/>
  <c r="L9" i="117" s="1"/>
  <c r="I9" i="119"/>
  <c r="J9" i="119" s="1"/>
  <c r="L9" i="119" s="1"/>
  <c r="P9" i="33"/>
  <c r="M69" i="115"/>
  <c r="V69" i="115" s="1"/>
  <c r="U69" i="115"/>
  <c r="M13" i="117"/>
  <c r="X13" i="117" s="1"/>
  <c r="O13" i="117"/>
  <c r="W13" i="117" s="1"/>
  <c r="J29" i="33"/>
  <c r="I29" i="113"/>
  <c r="J29" i="113" s="1"/>
  <c r="L29" i="113" s="1"/>
  <c r="M29" i="113" s="1"/>
  <c r="I29" i="120"/>
  <c r="J29" i="120" s="1"/>
  <c r="L29" i="120" s="1"/>
  <c r="Q29" i="33"/>
  <c r="U21" i="126"/>
  <c r="M21" i="126"/>
  <c r="V21" i="126" s="1"/>
  <c r="E18" i="76"/>
  <c r="H18" i="76" s="1"/>
  <c r="J18" i="76" s="1"/>
  <c r="K18" i="76" s="1"/>
  <c r="M18" i="76" s="1"/>
  <c r="I18" i="76"/>
  <c r="K21" i="33"/>
  <c r="I21" i="114"/>
  <c r="J21" i="114" s="1"/>
  <c r="L21" i="114" s="1"/>
  <c r="M33" i="129"/>
  <c r="V33" i="129" s="1"/>
  <c r="U33" i="129"/>
  <c r="U26" i="128"/>
  <c r="M26" i="128"/>
  <c r="V26" i="128" s="1"/>
  <c r="I26" i="113"/>
  <c r="J26" i="113" s="1"/>
  <c r="L26" i="113" s="1"/>
  <c r="M26" i="113" s="1"/>
  <c r="J26" i="33"/>
  <c r="I26" i="117"/>
  <c r="J26" i="117" s="1"/>
  <c r="L26" i="117" s="1"/>
  <c r="N26" i="33"/>
  <c r="U60" i="128"/>
  <c r="M60" i="128"/>
  <c r="V60" i="128" s="1"/>
  <c r="O60" i="33"/>
  <c r="I60" i="118"/>
  <c r="J60" i="118" s="1"/>
  <c r="L60" i="118" s="1"/>
  <c r="M54" i="33"/>
  <c r="I54" i="116"/>
  <c r="J54" i="116" s="1"/>
  <c r="L54" i="116" s="1"/>
  <c r="I54" i="117"/>
  <c r="J54" i="117" s="1"/>
  <c r="L54" i="117" s="1"/>
  <c r="N54" i="33"/>
  <c r="I32" i="116"/>
  <c r="J32" i="116" s="1"/>
  <c r="L32" i="116" s="1"/>
  <c r="M32" i="33"/>
  <c r="I32" i="117"/>
  <c r="J32" i="117" s="1"/>
  <c r="L32" i="117" s="1"/>
  <c r="N32" i="33"/>
  <c r="I11" i="115"/>
  <c r="J11" i="115" s="1"/>
  <c r="L11" i="115" s="1"/>
  <c r="L11" i="33"/>
  <c r="U11" i="131"/>
  <c r="M11" i="131"/>
  <c r="V11" i="131" s="1"/>
  <c r="I41" i="119"/>
  <c r="J41" i="119" s="1"/>
  <c r="L41" i="119" s="1"/>
  <c r="P41" i="33"/>
  <c r="K41" i="33"/>
  <c r="I41" i="114"/>
  <c r="J41" i="114" s="1"/>
  <c r="L41" i="114" s="1"/>
  <c r="M13" i="120"/>
  <c r="V13" i="120" s="1"/>
  <c r="U13" i="120"/>
  <c r="V16" i="80"/>
  <c r="N16" i="80"/>
  <c r="W16" i="80" s="1"/>
  <c r="U40" i="116"/>
  <c r="M40" i="116"/>
  <c r="V40" i="116" s="1"/>
  <c r="T70" i="67"/>
  <c r="J70" i="67"/>
  <c r="K70" i="67" s="1"/>
  <c r="W70" i="67" s="1"/>
  <c r="V53" i="113"/>
  <c r="U53" i="113"/>
  <c r="I68" i="120"/>
  <c r="J68" i="120" s="1"/>
  <c r="L68" i="120" s="1"/>
  <c r="Q68" i="33"/>
  <c r="O49" i="117"/>
  <c r="W49" i="117" s="1"/>
  <c r="M49" i="117"/>
  <c r="X49" i="117" s="1"/>
  <c r="M48" i="126"/>
  <c r="V48" i="126" s="1"/>
  <c r="U48" i="126"/>
  <c r="P75" i="33"/>
  <c r="I75" i="119"/>
  <c r="J75" i="119" s="1"/>
  <c r="L75" i="119" s="1"/>
  <c r="AQ12" i="1"/>
  <c r="AX12" i="1"/>
  <c r="AV12" i="1"/>
  <c r="O64" i="117"/>
  <c r="W64" i="117" s="1"/>
  <c r="M64" i="117"/>
  <c r="X64" i="117" s="1"/>
  <c r="N66" i="80"/>
  <c r="W66" i="80" s="1"/>
  <c r="V66" i="80"/>
  <c r="K17" i="33"/>
  <c r="I17" i="114"/>
  <c r="J17" i="114" s="1"/>
  <c r="L17" i="114" s="1"/>
  <c r="M17" i="127"/>
  <c r="V17" i="127" s="1"/>
  <c r="U17" i="127"/>
  <c r="J17" i="33"/>
  <c r="I17" i="113"/>
  <c r="J17" i="113" s="1"/>
  <c r="L17" i="113" s="1"/>
  <c r="M17" i="113" s="1"/>
  <c r="N17" i="33"/>
  <c r="I17" i="117"/>
  <c r="J17" i="117" s="1"/>
  <c r="L17" i="117" s="1"/>
  <c r="P8" i="33"/>
  <c r="I8" i="119"/>
  <c r="J8" i="119" s="1"/>
  <c r="L8" i="119" s="1"/>
  <c r="M8" i="127"/>
  <c r="V8" i="127" s="1"/>
  <c r="U8" i="127"/>
  <c r="I8" i="113"/>
  <c r="J8" i="113" s="1"/>
  <c r="L8" i="113" s="1"/>
  <c r="M8" i="113" s="1"/>
  <c r="J8" i="33"/>
  <c r="O8" i="33"/>
  <c r="I8" i="118"/>
  <c r="J8" i="118" s="1"/>
  <c r="L8" i="118" s="1"/>
  <c r="K24" i="33"/>
  <c r="I24" i="114"/>
  <c r="J24" i="114" s="1"/>
  <c r="L24" i="114" s="1"/>
  <c r="U24" i="127"/>
  <c r="M24" i="127"/>
  <c r="V24" i="127" s="1"/>
  <c r="Q24" i="33"/>
  <c r="I24" i="120"/>
  <c r="J24" i="120" s="1"/>
  <c r="L24" i="120" s="1"/>
  <c r="J24" i="33"/>
  <c r="I24" i="113"/>
  <c r="J24" i="113" s="1"/>
  <c r="L24" i="113" s="1"/>
  <c r="M24" i="113" s="1"/>
  <c r="M49" i="116"/>
  <c r="V49" i="116" s="1"/>
  <c r="U49" i="116"/>
  <c r="V35" i="76"/>
  <c r="N35" i="76"/>
  <c r="W35" i="76" s="1"/>
  <c r="U38" i="115"/>
  <c r="M38" i="115"/>
  <c r="V38" i="115" s="1"/>
  <c r="U55" i="113"/>
  <c r="V55" i="113"/>
  <c r="AC21" i="33"/>
  <c r="D21" i="67"/>
  <c r="E21" i="67" s="1"/>
  <c r="F21" i="67" s="1"/>
  <c r="G21" i="67" s="1"/>
  <c r="M27" i="115"/>
  <c r="V27" i="115" s="1"/>
  <c r="U27" i="115"/>
  <c r="U70" i="114"/>
  <c r="M70" i="114"/>
  <c r="V70" i="114" s="1"/>
  <c r="I64" i="80"/>
  <c r="S67" i="33" s="1"/>
  <c r="I67" i="114"/>
  <c r="J67" i="114" s="1"/>
  <c r="L67" i="114" s="1"/>
  <c r="K67" i="33"/>
  <c r="M67" i="33"/>
  <c r="I67" i="116"/>
  <c r="J67" i="116" s="1"/>
  <c r="L67" i="116" s="1"/>
  <c r="U67" i="127"/>
  <c r="M67" i="127"/>
  <c r="V67" i="127" s="1"/>
  <c r="U67" i="131"/>
  <c r="M67" i="131"/>
  <c r="V67" i="131" s="1"/>
  <c r="U37" i="125"/>
  <c r="M37" i="125"/>
  <c r="V37" i="125" s="1"/>
  <c r="U37" i="127"/>
  <c r="M37" i="127"/>
  <c r="V37" i="127" s="1"/>
  <c r="V34" i="76"/>
  <c r="N34" i="76"/>
  <c r="W34" i="76" s="1"/>
  <c r="I37" i="117"/>
  <c r="J37" i="117" s="1"/>
  <c r="L37" i="117" s="1"/>
  <c r="N37" i="33"/>
  <c r="AQ55" i="1"/>
  <c r="AX55" i="1"/>
  <c r="AV55" i="1"/>
  <c r="O35" i="33"/>
  <c r="I35" i="118"/>
  <c r="J35" i="118" s="1"/>
  <c r="L35" i="118" s="1"/>
  <c r="K35" i="33"/>
  <c r="I35" i="114"/>
  <c r="J35" i="114" s="1"/>
  <c r="L35" i="114" s="1"/>
  <c r="N35" i="33"/>
  <c r="I35" i="117"/>
  <c r="J35" i="117" s="1"/>
  <c r="L35" i="117" s="1"/>
  <c r="U35" i="128"/>
  <c r="M35" i="128"/>
  <c r="V35" i="128" s="1"/>
  <c r="U69" i="120"/>
  <c r="M69" i="120"/>
  <c r="V69" i="120" s="1"/>
  <c r="J39" i="67"/>
  <c r="K39" i="67" s="1"/>
  <c r="W39" i="67" s="1"/>
  <c r="T39" i="67"/>
  <c r="N10" i="80"/>
  <c r="W10" i="80" s="1"/>
  <c r="V10" i="80"/>
  <c r="U38" i="118"/>
  <c r="M38" i="118"/>
  <c r="V38" i="118" s="1"/>
  <c r="M55" i="116"/>
  <c r="V55" i="116" s="1"/>
  <c r="U55" i="116"/>
  <c r="T64" i="67"/>
  <c r="J64" i="67"/>
  <c r="K64" i="67" s="1"/>
  <c r="W64" i="67" s="1"/>
  <c r="I47" i="117"/>
  <c r="J47" i="117" s="1"/>
  <c r="L47" i="117" s="1"/>
  <c r="N47" i="33"/>
  <c r="I47" i="115"/>
  <c r="J47" i="115" s="1"/>
  <c r="L47" i="115" s="1"/>
  <c r="L47" i="33"/>
  <c r="I47" i="114"/>
  <c r="J47" i="114" s="1"/>
  <c r="L47" i="114" s="1"/>
  <c r="K47" i="33"/>
  <c r="U47" i="126"/>
  <c r="M47" i="126"/>
  <c r="V47" i="126" s="1"/>
  <c r="M43" i="125"/>
  <c r="V43" i="125" s="1"/>
  <c r="U43" i="125"/>
  <c r="I43" i="120"/>
  <c r="J43" i="120" s="1"/>
  <c r="L43" i="120" s="1"/>
  <c r="Q43" i="33"/>
  <c r="I43" i="119"/>
  <c r="J43" i="119" s="1"/>
  <c r="L43" i="119" s="1"/>
  <c r="P43" i="33"/>
  <c r="M43" i="131"/>
  <c r="V43" i="131" s="1"/>
  <c r="U43" i="131"/>
  <c r="M16" i="126"/>
  <c r="V16" i="126" s="1"/>
  <c r="U16" i="126"/>
  <c r="N13" i="80"/>
  <c r="W13" i="80" s="1"/>
  <c r="V13" i="80"/>
  <c r="K16" i="33"/>
  <c r="I16" i="114"/>
  <c r="J16" i="114" s="1"/>
  <c r="L16" i="114" s="1"/>
  <c r="I16" i="118"/>
  <c r="J16" i="118" s="1"/>
  <c r="L16" i="118" s="1"/>
  <c r="O16" i="33"/>
  <c r="I18" i="118"/>
  <c r="J18" i="118" s="1"/>
  <c r="L18" i="118" s="1"/>
  <c r="O18" i="33"/>
  <c r="I18" i="113"/>
  <c r="J18" i="113" s="1"/>
  <c r="L18" i="113" s="1"/>
  <c r="M18" i="113" s="1"/>
  <c r="J18" i="33"/>
  <c r="M18" i="127"/>
  <c r="V18" i="127" s="1"/>
  <c r="U18" i="127"/>
  <c r="P18" i="33"/>
  <c r="I18" i="119"/>
  <c r="J18" i="119" s="1"/>
  <c r="L18" i="119" s="1"/>
  <c r="M73" i="129"/>
  <c r="V73" i="129" s="1"/>
  <c r="U73" i="129"/>
  <c r="E70" i="76"/>
  <c r="H70" i="76" s="1"/>
  <c r="J70" i="76" s="1"/>
  <c r="K70" i="76" s="1"/>
  <c r="M70" i="76" s="1"/>
  <c r="I70" i="76"/>
  <c r="P73" i="33"/>
  <c r="I73" i="119"/>
  <c r="J73" i="119" s="1"/>
  <c r="L73" i="119" s="1"/>
  <c r="I9" i="115"/>
  <c r="J9" i="115" s="1"/>
  <c r="L9" i="115" s="1"/>
  <c r="L9" i="33"/>
  <c r="E6" i="76"/>
  <c r="H6" i="76" s="1"/>
  <c r="J6" i="76" s="1"/>
  <c r="K6" i="76" s="1"/>
  <c r="M6" i="76" s="1"/>
  <c r="I6" i="76"/>
  <c r="K9" i="33"/>
  <c r="I9" i="114"/>
  <c r="J9" i="114" s="1"/>
  <c r="L9" i="114" s="1"/>
  <c r="T19" i="67"/>
  <c r="J19" i="67"/>
  <c r="K19" i="67" s="1"/>
  <c r="W19" i="67" s="1"/>
  <c r="I29" i="117"/>
  <c r="J29" i="117" s="1"/>
  <c r="L29" i="117" s="1"/>
  <c r="N29" i="33"/>
  <c r="P29" i="33"/>
  <c r="I29" i="119"/>
  <c r="J29" i="119" s="1"/>
  <c r="L29" i="119" s="1"/>
  <c r="M29" i="125"/>
  <c r="V29" i="125" s="1"/>
  <c r="U29" i="125"/>
  <c r="V26" i="76"/>
  <c r="N26" i="76"/>
  <c r="W26" i="76" s="1"/>
  <c r="N21" i="33"/>
  <c r="I21" i="117"/>
  <c r="J21" i="117" s="1"/>
  <c r="L21" i="117" s="1"/>
  <c r="M21" i="127"/>
  <c r="V21" i="127" s="1"/>
  <c r="U21" i="127"/>
  <c r="U21" i="131"/>
  <c r="M21" i="131"/>
  <c r="V21" i="131" s="1"/>
  <c r="I21" i="116"/>
  <c r="J21" i="116" s="1"/>
  <c r="L21" i="116" s="1"/>
  <c r="M21" i="33"/>
  <c r="AQ67" i="1"/>
  <c r="AX67" i="1"/>
  <c r="AV67" i="1"/>
  <c r="M33" i="126"/>
  <c r="V33" i="126" s="1"/>
  <c r="U33" i="126"/>
  <c r="M33" i="125"/>
  <c r="V33" i="125" s="1"/>
  <c r="U33" i="125"/>
  <c r="P33" i="33"/>
  <c r="I33" i="119"/>
  <c r="J33" i="119" s="1"/>
  <c r="L33" i="119" s="1"/>
  <c r="J30" i="80"/>
  <c r="K30" i="80" s="1"/>
  <c r="M30" i="80" s="1"/>
  <c r="U26" i="129"/>
  <c r="M26" i="129"/>
  <c r="V26" i="129" s="1"/>
  <c r="U26" i="125"/>
  <c r="M26" i="125"/>
  <c r="V26" i="125" s="1"/>
  <c r="J23" i="76"/>
  <c r="K23" i="76" s="1"/>
  <c r="M23" i="76" s="1"/>
  <c r="R26" i="33"/>
  <c r="M26" i="127"/>
  <c r="V26" i="127" s="1"/>
  <c r="U26" i="127"/>
  <c r="AQ44" i="1"/>
  <c r="AX44" i="1"/>
  <c r="AV44" i="1"/>
  <c r="L60" i="33"/>
  <c r="I60" i="115"/>
  <c r="J60" i="115" s="1"/>
  <c r="L60" i="115" s="1"/>
  <c r="I60" i="120"/>
  <c r="J60" i="120" s="1"/>
  <c r="L60" i="120" s="1"/>
  <c r="Q60" i="33"/>
  <c r="M60" i="127"/>
  <c r="V60" i="127" s="1"/>
  <c r="U60" i="127"/>
  <c r="P60" i="33"/>
  <c r="I60" i="119"/>
  <c r="J60" i="119" s="1"/>
  <c r="L60" i="119" s="1"/>
  <c r="AQ38" i="1"/>
  <c r="AV38" i="1"/>
  <c r="AX38" i="1"/>
  <c r="L54" i="33"/>
  <c r="I54" i="115"/>
  <c r="J54" i="115" s="1"/>
  <c r="L54" i="115" s="1"/>
  <c r="M54" i="126"/>
  <c r="V54" i="126" s="1"/>
  <c r="U54" i="126"/>
  <c r="U54" i="127"/>
  <c r="M54" i="127"/>
  <c r="V54" i="127" s="1"/>
  <c r="V51" i="80"/>
  <c r="N51" i="80"/>
  <c r="W51" i="80" s="1"/>
  <c r="AQ66" i="1"/>
  <c r="AV66" i="1"/>
  <c r="AX66" i="1"/>
  <c r="M32" i="128"/>
  <c r="V32" i="128" s="1"/>
  <c r="U32" i="128"/>
  <c r="M32" i="127"/>
  <c r="V32" i="127" s="1"/>
  <c r="U32" i="127"/>
  <c r="L32" i="33"/>
  <c r="I32" i="115"/>
  <c r="J32" i="115" s="1"/>
  <c r="L32" i="115" s="1"/>
  <c r="V29" i="76"/>
  <c r="N29" i="76"/>
  <c r="W29" i="76" s="1"/>
  <c r="U11" i="127"/>
  <c r="M11" i="127"/>
  <c r="V11" i="127" s="1"/>
  <c r="J8" i="80"/>
  <c r="K8" i="80" s="1"/>
  <c r="M8" i="80" s="1"/>
  <c r="S11" i="33"/>
  <c r="J11" i="33"/>
  <c r="I11" i="113"/>
  <c r="J11" i="113" s="1"/>
  <c r="L11" i="113" s="1"/>
  <c r="M11" i="113" s="1"/>
  <c r="I11" i="120"/>
  <c r="J11" i="120" s="1"/>
  <c r="L11" i="120" s="1"/>
  <c r="Q11" i="33"/>
  <c r="M41" i="128"/>
  <c r="V41" i="128" s="1"/>
  <c r="U41" i="128"/>
  <c r="L41" i="33"/>
  <c r="I41" i="115"/>
  <c r="J41" i="115" s="1"/>
  <c r="L41" i="115" s="1"/>
  <c r="M41" i="129"/>
  <c r="V41" i="129" s="1"/>
  <c r="U41" i="129"/>
  <c r="M41" i="125"/>
  <c r="V41" i="125" s="1"/>
  <c r="U41" i="125"/>
  <c r="AV10" i="1"/>
  <c r="AX10" i="1"/>
  <c r="U13" i="115"/>
  <c r="M13" i="115"/>
  <c r="V13" i="115" s="1"/>
  <c r="AV34" i="1"/>
  <c r="AX34" i="1"/>
  <c r="U40" i="119"/>
  <c r="M40" i="119"/>
  <c r="V40" i="119" s="1"/>
  <c r="M69" i="117"/>
  <c r="X69" i="117" s="1"/>
  <c r="O69" i="117"/>
  <c r="W69" i="117" s="1"/>
  <c r="N66" i="76"/>
  <c r="W66" i="76" s="1"/>
  <c r="V66" i="76"/>
  <c r="AQ9" i="1"/>
  <c r="AV9" i="1"/>
  <c r="AX9" i="1"/>
  <c r="I68" i="119"/>
  <c r="J68" i="119" s="1"/>
  <c r="L68" i="119" s="1"/>
  <c r="P68" i="33"/>
  <c r="U68" i="131"/>
  <c r="M68" i="131"/>
  <c r="V68" i="131" s="1"/>
  <c r="L68" i="33"/>
  <c r="I68" i="115"/>
  <c r="J68" i="115" s="1"/>
  <c r="L68" i="115" s="1"/>
  <c r="M68" i="127"/>
  <c r="V68" i="127" s="1"/>
  <c r="U68" i="127"/>
  <c r="V49" i="113"/>
  <c r="U49" i="113"/>
  <c r="U13" i="119"/>
  <c r="M13" i="119"/>
  <c r="V13" i="119" s="1"/>
  <c r="V38" i="113"/>
  <c r="U38" i="113"/>
  <c r="U55" i="115"/>
  <c r="M55" i="115"/>
  <c r="V55" i="115" s="1"/>
  <c r="V45" i="80"/>
  <c r="N45" i="80"/>
  <c r="W45" i="80" s="1"/>
  <c r="K48" i="33"/>
  <c r="I48" i="114"/>
  <c r="J48" i="114" s="1"/>
  <c r="L48" i="114" s="1"/>
  <c r="N45" i="76"/>
  <c r="W45" i="76" s="1"/>
  <c r="V45" i="76"/>
  <c r="M48" i="131"/>
  <c r="V48" i="131" s="1"/>
  <c r="U48" i="131"/>
  <c r="N61" i="80"/>
  <c r="W61" i="80" s="1"/>
  <c r="V61" i="80"/>
  <c r="I47" i="76"/>
  <c r="R50" i="33" s="1"/>
  <c r="Q50" i="33"/>
  <c r="I50" i="120"/>
  <c r="J50" i="120" s="1"/>
  <c r="L50" i="120" s="1"/>
  <c r="U50" i="126"/>
  <c r="M50" i="126"/>
  <c r="V50" i="126" s="1"/>
  <c r="K50" i="33"/>
  <c r="I50" i="114"/>
  <c r="J50" i="114" s="1"/>
  <c r="L50" i="114" s="1"/>
  <c r="I50" i="113"/>
  <c r="J50" i="113" s="1"/>
  <c r="L50" i="113" s="1"/>
  <c r="M50" i="113" s="1"/>
  <c r="J50" i="33"/>
  <c r="Q75" i="33"/>
  <c r="I75" i="120"/>
  <c r="J75" i="120" s="1"/>
  <c r="L75" i="120" s="1"/>
  <c r="M75" i="33"/>
  <c r="I75" i="116"/>
  <c r="J75" i="116" s="1"/>
  <c r="L75" i="116" s="1"/>
  <c r="I75" i="117"/>
  <c r="J75" i="117" s="1"/>
  <c r="L75" i="117" s="1"/>
  <c r="N75" i="33"/>
  <c r="M75" i="129"/>
  <c r="V75" i="129" s="1"/>
  <c r="U75" i="129"/>
  <c r="T13" i="67"/>
  <c r="J13" i="67"/>
  <c r="K13" i="67" s="1"/>
  <c r="W13" i="67" s="1"/>
  <c r="U31" i="120"/>
  <c r="M31" i="120"/>
  <c r="V31" i="120" s="1"/>
  <c r="AC60" i="33"/>
  <c r="D60" i="67"/>
  <c r="E60" i="67" s="1"/>
  <c r="F60" i="67" s="1"/>
  <c r="G60" i="67" s="1"/>
  <c r="T69" i="67"/>
  <c r="J69" i="67"/>
  <c r="K69" i="67" s="1"/>
  <c r="W69" i="67" s="1"/>
  <c r="M65" i="131"/>
  <c r="V65" i="131" s="1"/>
  <c r="U65" i="131"/>
  <c r="V62" i="76"/>
  <c r="N62" i="76"/>
  <c r="W62" i="76" s="1"/>
  <c r="V62" i="80"/>
  <c r="N62" i="80"/>
  <c r="W62" i="80" s="1"/>
  <c r="Q65" i="33"/>
  <c r="I65" i="120"/>
  <c r="J65" i="120" s="1"/>
  <c r="L65" i="120" s="1"/>
  <c r="AC29" i="33"/>
  <c r="D29" i="67"/>
  <c r="E29" i="67" s="1"/>
  <c r="F29" i="67" s="1"/>
  <c r="G29" i="67" s="1"/>
  <c r="M66" i="128"/>
  <c r="V66" i="128" s="1"/>
  <c r="U66" i="128"/>
  <c r="U66" i="126"/>
  <c r="M66" i="126"/>
  <c r="V66" i="126" s="1"/>
  <c r="I66" i="114"/>
  <c r="J66" i="114" s="1"/>
  <c r="L66" i="114" s="1"/>
  <c r="K66" i="33"/>
  <c r="L66" i="33"/>
  <c r="I66" i="115"/>
  <c r="J66" i="115" s="1"/>
  <c r="L66" i="115" s="1"/>
  <c r="V19" i="113"/>
  <c r="U19" i="113"/>
  <c r="M19" i="120"/>
  <c r="V19" i="120" s="1"/>
  <c r="U19" i="120"/>
  <c r="I57" i="114"/>
  <c r="J57" i="114" s="1"/>
  <c r="L57" i="114" s="1"/>
  <c r="K57" i="33"/>
  <c r="N54" i="80"/>
  <c r="W54" i="80" s="1"/>
  <c r="V54" i="80"/>
  <c r="M57" i="126"/>
  <c r="V57" i="126" s="1"/>
  <c r="U57" i="126"/>
  <c r="Q57" i="33"/>
  <c r="I57" i="120"/>
  <c r="J57" i="120" s="1"/>
  <c r="L57" i="120" s="1"/>
  <c r="U9" i="129"/>
  <c r="N47" i="76"/>
  <c r="W47" i="76" s="1"/>
  <c r="J32" i="76"/>
  <c r="K32" i="76" s="1"/>
  <c r="M32" i="76" s="1"/>
  <c r="N32" i="76" s="1"/>
  <c r="W32" i="76" s="1"/>
  <c r="D18" i="67"/>
  <c r="E18" i="67" s="1"/>
  <c r="F18" i="67" s="1"/>
  <c r="G18" i="67" s="1"/>
  <c r="AC18" i="33"/>
  <c r="M39" i="114"/>
  <c r="V39" i="114" s="1"/>
  <c r="U39" i="114"/>
  <c r="AX74" i="1"/>
  <c r="AV74" i="1"/>
  <c r="AQ74" i="1"/>
  <c r="AV36" i="1"/>
  <c r="AQ36" i="1"/>
  <c r="AX36" i="1"/>
  <c r="J14" i="76"/>
  <c r="K14" i="76" s="1"/>
  <c r="M14" i="76" s="1"/>
  <c r="L17" i="33"/>
  <c r="I17" i="115"/>
  <c r="J17" i="115" s="1"/>
  <c r="L17" i="115" s="1"/>
  <c r="U17" i="129"/>
  <c r="M17" i="129"/>
  <c r="V17" i="129" s="1"/>
  <c r="O17" i="33"/>
  <c r="I17" i="118"/>
  <c r="J17" i="118" s="1"/>
  <c r="L17" i="118" s="1"/>
  <c r="I5" i="76"/>
  <c r="R8" i="33" s="1"/>
  <c r="M8" i="131"/>
  <c r="V8" i="131" s="1"/>
  <c r="U8" i="131"/>
  <c r="U8" i="125"/>
  <c r="M8" i="125"/>
  <c r="V8" i="125" s="1"/>
  <c r="I8" i="115"/>
  <c r="J8" i="115" s="1"/>
  <c r="L8" i="115" s="1"/>
  <c r="L8" i="33"/>
  <c r="J5" i="80"/>
  <c r="K5" i="80" s="1"/>
  <c r="M5" i="80" s="1"/>
  <c r="L24" i="33"/>
  <c r="I24" i="115"/>
  <c r="J24" i="115" s="1"/>
  <c r="L24" i="115" s="1"/>
  <c r="M24" i="125"/>
  <c r="V24" i="125" s="1"/>
  <c r="U24" i="125"/>
  <c r="I24" i="116"/>
  <c r="J24" i="116" s="1"/>
  <c r="L24" i="116" s="1"/>
  <c r="M24" i="33"/>
  <c r="P24" i="33"/>
  <c r="I24" i="119"/>
  <c r="J24" i="119" s="1"/>
  <c r="L24" i="119" s="1"/>
  <c r="M70" i="118"/>
  <c r="V70" i="118" s="1"/>
  <c r="U70" i="118"/>
  <c r="T55" i="67"/>
  <c r="J55" i="67"/>
  <c r="K55" i="67" s="1"/>
  <c r="W55" i="67" s="1"/>
  <c r="T40" i="33"/>
  <c r="U40" i="33" s="1"/>
  <c r="N67" i="33"/>
  <c r="I67" i="117"/>
  <c r="J67" i="117" s="1"/>
  <c r="L67" i="117" s="1"/>
  <c r="L67" i="33"/>
  <c r="I67" i="115"/>
  <c r="J67" i="115" s="1"/>
  <c r="L67" i="115" s="1"/>
  <c r="U67" i="129"/>
  <c r="M67" i="129"/>
  <c r="V67" i="129" s="1"/>
  <c r="O67" i="33"/>
  <c r="I67" i="118"/>
  <c r="J67" i="118" s="1"/>
  <c r="L67" i="118" s="1"/>
  <c r="V31" i="113"/>
  <c r="U31" i="113"/>
  <c r="M31" i="115"/>
  <c r="V31" i="115" s="1"/>
  <c r="U31" i="115"/>
  <c r="I34" i="76"/>
  <c r="R37" i="33" s="1"/>
  <c r="I37" i="116"/>
  <c r="J37" i="116" s="1"/>
  <c r="L37" i="116" s="1"/>
  <c r="M37" i="33"/>
  <c r="U37" i="129"/>
  <c r="M37" i="129"/>
  <c r="V37" i="129" s="1"/>
  <c r="M37" i="131"/>
  <c r="V37" i="131" s="1"/>
  <c r="U37" i="131"/>
  <c r="P37" i="33"/>
  <c r="I37" i="119"/>
  <c r="J37" i="119" s="1"/>
  <c r="L37" i="119" s="1"/>
  <c r="M35" i="126"/>
  <c r="V35" i="126" s="1"/>
  <c r="U35" i="126"/>
  <c r="I35" i="116"/>
  <c r="J35" i="116" s="1"/>
  <c r="L35" i="116" s="1"/>
  <c r="M35" i="33"/>
  <c r="U35" i="125"/>
  <c r="M35" i="125"/>
  <c r="V35" i="125" s="1"/>
  <c r="AV25" i="1"/>
  <c r="AX25" i="1"/>
  <c r="J46" i="80"/>
  <c r="K46" i="80" s="1"/>
  <c r="M46" i="80" s="1"/>
  <c r="S49" i="33"/>
  <c r="O38" i="117"/>
  <c r="W38" i="117" s="1"/>
  <c r="M38" i="117"/>
  <c r="X38" i="117" s="1"/>
  <c r="U47" i="128"/>
  <c r="M47" i="128"/>
  <c r="V47" i="128" s="1"/>
  <c r="E44" i="80"/>
  <c r="H44" i="80" s="1"/>
  <c r="J44" i="80" s="1"/>
  <c r="K44" i="80" s="1"/>
  <c r="M44" i="80" s="1"/>
  <c r="I44" i="80"/>
  <c r="J47" i="33"/>
  <c r="I47" i="113"/>
  <c r="J47" i="113" s="1"/>
  <c r="L47" i="113" s="1"/>
  <c r="M47" i="113" s="1"/>
  <c r="O47" i="33"/>
  <c r="I47" i="118"/>
  <c r="J47" i="118" s="1"/>
  <c r="L47" i="118" s="1"/>
  <c r="D50" i="67"/>
  <c r="E50" i="67" s="1"/>
  <c r="F50" i="67" s="1"/>
  <c r="G50" i="67" s="1"/>
  <c r="AC50" i="33"/>
  <c r="M43" i="33"/>
  <c r="I43" i="116"/>
  <c r="J43" i="116" s="1"/>
  <c r="L43" i="116" s="1"/>
  <c r="I43" i="113"/>
  <c r="J43" i="113" s="1"/>
  <c r="L43" i="113" s="1"/>
  <c r="M43" i="113" s="1"/>
  <c r="J43" i="33"/>
  <c r="I43" i="118"/>
  <c r="J43" i="118" s="1"/>
  <c r="L43" i="118" s="1"/>
  <c r="O43" i="33"/>
  <c r="V28" i="76"/>
  <c r="N28" i="76"/>
  <c r="W28" i="76" s="1"/>
  <c r="J40" i="67"/>
  <c r="K40" i="67" s="1"/>
  <c r="W40" i="67" s="1"/>
  <c r="T40" i="67"/>
  <c r="I16" i="119"/>
  <c r="J16" i="119" s="1"/>
  <c r="L16" i="119" s="1"/>
  <c r="P16" i="33"/>
  <c r="J16" i="33"/>
  <c r="I16" i="113"/>
  <c r="J16" i="113" s="1"/>
  <c r="L16" i="113" s="1"/>
  <c r="M16" i="113" s="1"/>
  <c r="L16" i="33"/>
  <c r="I16" i="115"/>
  <c r="J16" i="115" s="1"/>
  <c r="L16" i="115" s="1"/>
  <c r="N16" i="33"/>
  <c r="I16" i="117"/>
  <c r="J16" i="117" s="1"/>
  <c r="L16" i="117" s="1"/>
  <c r="D41" i="67"/>
  <c r="E41" i="67" s="1"/>
  <c r="F41" i="67" s="1"/>
  <c r="G41" i="67" s="1"/>
  <c r="AC41" i="33"/>
  <c r="J31" i="67"/>
  <c r="K31" i="67" s="1"/>
  <c r="W31" i="67" s="1"/>
  <c r="T31" i="67"/>
  <c r="Q18" i="33"/>
  <c r="I18" i="120"/>
  <c r="J18" i="120" s="1"/>
  <c r="L18" i="120" s="1"/>
  <c r="U18" i="126"/>
  <c r="M18" i="126"/>
  <c r="V18" i="126" s="1"/>
  <c r="M18" i="33"/>
  <c r="I18" i="116"/>
  <c r="J18" i="116" s="1"/>
  <c r="L18" i="116" s="1"/>
  <c r="U73" i="126"/>
  <c r="M73" i="126"/>
  <c r="V73" i="126" s="1"/>
  <c r="K73" i="33"/>
  <c r="I73" i="114"/>
  <c r="J73" i="114" s="1"/>
  <c r="L73" i="114" s="1"/>
  <c r="I73" i="117"/>
  <c r="J73" i="117" s="1"/>
  <c r="L73" i="117" s="1"/>
  <c r="N73" i="33"/>
  <c r="L73" i="33"/>
  <c r="I73" i="115"/>
  <c r="J73" i="115" s="1"/>
  <c r="L73" i="115" s="1"/>
  <c r="M64" i="115"/>
  <c r="V64" i="115" s="1"/>
  <c r="U64" i="115"/>
  <c r="M9" i="126"/>
  <c r="V9" i="126" s="1"/>
  <c r="U9" i="126"/>
  <c r="I9" i="118"/>
  <c r="J9" i="118" s="1"/>
  <c r="L9" i="118" s="1"/>
  <c r="O9" i="33"/>
  <c r="U9" i="131"/>
  <c r="M9" i="131"/>
  <c r="V9" i="131" s="1"/>
  <c r="M9" i="128"/>
  <c r="V9" i="128" s="1"/>
  <c r="U9" i="128"/>
  <c r="M69" i="116"/>
  <c r="V69" i="116" s="1"/>
  <c r="U69" i="116"/>
  <c r="V69" i="113"/>
  <c r="U69" i="113"/>
  <c r="M49" i="115"/>
  <c r="V49" i="115" s="1"/>
  <c r="U49" i="115"/>
  <c r="M38" i="114"/>
  <c r="V38" i="114" s="1"/>
  <c r="U38" i="114"/>
  <c r="U29" i="127"/>
  <c r="M29" i="127"/>
  <c r="V29" i="127" s="1"/>
  <c r="U29" i="129"/>
  <c r="M29" i="129"/>
  <c r="V29" i="129" s="1"/>
  <c r="I26" i="76"/>
  <c r="R29" i="33" s="1"/>
  <c r="I29" i="116"/>
  <c r="J29" i="116" s="1"/>
  <c r="L29" i="116" s="1"/>
  <c r="M29" i="33"/>
  <c r="M29" i="128"/>
  <c r="V29" i="128" s="1"/>
  <c r="U29" i="128"/>
  <c r="I21" i="119"/>
  <c r="J21" i="119" s="1"/>
  <c r="L21" i="119" s="1"/>
  <c r="P21" i="33"/>
  <c r="M21" i="128"/>
  <c r="V21" i="128" s="1"/>
  <c r="U21" i="128"/>
  <c r="I21" i="120"/>
  <c r="J21" i="120" s="1"/>
  <c r="L21" i="120" s="1"/>
  <c r="Q21" i="33"/>
  <c r="U21" i="125"/>
  <c r="M21" i="125"/>
  <c r="V21" i="125" s="1"/>
  <c r="M27" i="117"/>
  <c r="X27" i="117" s="1"/>
  <c r="O27" i="117"/>
  <c r="W27" i="117" s="1"/>
  <c r="U19" i="115"/>
  <c r="M19" i="115"/>
  <c r="V19" i="115" s="1"/>
  <c r="M19" i="117"/>
  <c r="X19" i="117" s="1"/>
  <c r="O19" i="117"/>
  <c r="W19" i="117" s="1"/>
  <c r="J30" i="76"/>
  <c r="K30" i="76" s="1"/>
  <c r="M30" i="76" s="1"/>
  <c r="M33" i="131"/>
  <c r="V33" i="131" s="1"/>
  <c r="U33" i="131"/>
  <c r="M33" i="127"/>
  <c r="V33" i="127" s="1"/>
  <c r="U33" i="127"/>
  <c r="U33" i="128"/>
  <c r="M33" i="128"/>
  <c r="V33" i="128" s="1"/>
  <c r="M70" i="116"/>
  <c r="V70" i="116" s="1"/>
  <c r="U70" i="116"/>
  <c r="J67" i="76"/>
  <c r="K67" i="76" s="1"/>
  <c r="M67" i="76" s="1"/>
  <c r="R70" i="33"/>
  <c r="T70" i="33" s="1"/>
  <c r="U70" i="33" s="1"/>
  <c r="J23" i="80"/>
  <c r="K23" i="80" s="1"/>
  <c r="M23" i="80" s="1"/>
  <c r="S26" i="33"/>
  <c r="I26" i="118"/>
  <c r="J26" i="118" s="1"/>
  <c r="L26" i="118" s="1"/>
  <c r="O26" i="33"/>
  <c r="M26" i="33"/>
  <c r="I26" i="116"/>
  <c r="J26" i="116" s="1"/>
  <c r="L26" i="116" s="1"/>
  <c r="Q26" i="33"/>
  <c r="I26" i="120"/>
  <c r="J26" i="120" s="1"/>
  <c r="L26" i="120" s="1"/>
  <c r="AC43" i="33"/>
  <c r="D43" i="67"/>
  <c r="E43" i="67" s="1"/>
  <c r="F43" i="67" s="1"/>
  <c r="G43" i="67" s="1"/>
  <c r="D75" i="67"/>
  <c r="E75" i="67" s="1"/>
  <c r="F75" i="67" s="1"/>
  <c r="G75" i="67" s="1"/>
  <c r="AC75" i="33"/>
  <c r="O31" i="117"/>
  <c r="W31" i="117" s="1"/>
  <c r="M31" i="117"/>
  <c r="X31" i="117" s="1"/>
  <c r="M31" i="118"/>
  <c r="V31" i="118" s="1"/>
  <c r="U31" i="118"/>
  <c r="I60" i="117"/>
  <c r="J60" i="117" s="1"/>
  <c r="L60" i="117" s="1"/>
  <c r="N60" i="33"/>
  <c r="M60" i="126"/>
  <c r="V60" i="126" s="1"/>
  <c r="U60" i="126"/>
  <c r="V57" i="80"/>
  <c r="N57" i="80"/>
  <c r="W57" i="80" s="1"/>
  <c r="M60" i="131"/>
  <c r="V60" i="131" s="1"/>
  <c r="U60" i="131"/>
  <c r="U54" i="125"/>
  <c r="M54" i="125"/>
  <c r="V54" i="125" s="1"/>
  <c r="O54" i="33"/>
  <c r="I54" i="118"/>
  <c r="J54" i="118" s="1"/>
  <c r="L54" i="118" s="1"/>
  <c r="U54" i="128"/>
  <c r="M54" i="128"/>
  <c r="V54" i="128" s="1"/>
  <c r="M54" i="131"/>
  <c r="V54" i="131" s="1"/>
  <c r="U54" i="131"/>
  <c r="D65" i="67"/>
  <c r="E65" i="67" s="1"/>
  <c r="F65" i="67" s="1"/>
  <c r="G65" i="67" s="1"/>
  <c r="AC65" i="33"/>
  <c r="I29" i="76"/>
  <c r="R32" i="33" s="1"/>
  <c r="P32" i="33"/>
  <c r="I32" i="119"/>
  <c r="J32" i="119" s="1"/>
  <c r="L32" i="119" s="1"/>
  <c r="M32" i="129"/>
  <c r="V32" i="129" s="1"/>
  <c r="U32" i="129"/>
  <c r="K32" i="33"/>
  <c r="I32" i="114"/>
  <c r="J32" i="114" s="1"/>
  <c r="L32" i="114" s="1"/>
  <c r="I32" i="120"/>
  <c r="J32" i="120" s="1"/>
  <c r="L32" i="120" s="1"/>
  <c r="Q32" i="33"/>
  <c r="K11" i="33"/>
  <c r="I11" i="114"/>
  <c r="J11" i="114" s="1"/>
  <c r="L11" i="114" s="1"/>
  <c r="P11" i="33"/>
  <c r="I11" i="119"/>
  <c r="J11" i="119" s="1"/>
  <c r="L11" i="119" s="1"/>
  <c r="U11" i="129"/>
  <c r="M11" i="129"/>
  <c r="V11" i="129" s="1"/>
  <c r="U11" i="125"/>
  <c r="M11" i="125"/>
  <c r="V11" i="125" s="1"/>
  <c r="I41" i="120"/>
  <c r="J41" i="120" s="1"/>
  <c r="L41" i="120" s="1"/>
  <c r="Q41" i="33"/>
  <c r="U41" i="126"/>
  <c r="M41" i="126"/>
  <c r="V41" i="126" s="1"/>
  <c r="O41" i="33"/>
  <c r="I41" i="118"/>
  <c r="J41" i="118" s="1"/>
  <c r="L41" i="118" s="1"/>
  <c r="I41" i="113"/>
  <c r="J41" i="113" s="1"/>
  <c r="L41" i="113" s="1"/>
  <c r="M41" i="113" s="1"/>
  <c r="J41" i="33"/>
  <c r="U39" i="115"/>
  <c r="M39" i="115"/>
  <c r="V39" i="115" s="1"/>
  <c r="D48" i="67"/>
  <c r="E48" i="67" s="1"/>
  <c r="F48" i="67" s="1"/>
  <c r="G48" i="67" s="1"/>
  <c r="AC48" i="33"/>
  <c r="D9" i="67"/>
  <c r="E9" i="67" s="1"/>
  <c r="F9" i="67" s="1"/>
  <c r="G9" i="67" s="1"/>
  <c r="AC9" i="33"/>
  <c r="U69" i="118"/>
  <c r="M69" i="118"/>
  <c r="V69" i="118" s="1"/>
  <c r="AQ18" i="1"/>
  <c r="AX18" i="1"/>
  <c r="AV18" i="1"/>
  <c r="N16" i="76"/>
  <c r="W16" i="76" s="1"/>
  <c r="V16" i="76"/>
  <c r="M70" i="120"/>
  <c r="V70" i="120" s="1"/>
  <c r="U70" i="120"/>
  <c r="M40" i="114"/>
  <c r="V40" i="114" s="1"/>
  <c r="U40" i="114"/>
  <c r="AC26" i="33"/>
  <c r="D26" i="67"/>
  <c r="E26" i="67" s="1"/>
  <c r="F26" i="67" s="1"/>
  <c r="G26" i="67" s="1"/>
  <c r="D67" i="67"/>
  <c r="E67" i="67" s="1"/>
  <c r="F67" i="67" s="1"/>
  <c r="G67" i="67" s="1"/>
  <c r="AC67" i="33"/>
  <c r="M31" i="114"/>
  <c r="V31" i="114" s="1"/>
  <c r="U31" i="114"/>
  <c r="N11" i="76"/>
  <c r="W11" i="76" s="1"/>
  <c r="V11" i="76"/>
  <c r="I65" i="80"/>
  <c r="S68" i="33" s="1"/>
  <c r="M40" i="118"/>
  <c r="V40" i="118" s="1"/>
  <c r="U40" i="118"/>
  <c r="D8" i="67"/>
  <c r="E8" i="67" s="1"/>
  <c r="F8" i="67" s="1"/>
  <c r="G8" i="67" s="1"/>
  <c r="AC8" i="33"/>
  <c r="I68" i="118"/>
  <c r="J68" i="118" s="1"/>
  <c r="L68" i="118" s="1"/>
  <c r="O68" i="33"/>
  <c r="U68" i="126"/>
  <c r="M68" i="126"/>
  <c r="V68" i="126" s="1"/>
  <c r="M68" i="33"/>
  <c r="I68" i="116"/>
  <c r="J68" i="116" s="1"/>
  <c r="L68" i="116" s="1"/>
  <c r="U49" i="118"/>
  <c r="M49" i="118"/>
  <c r="V49" i="118" s="1"/>
  <c r="N10" i="76"/>
  <c r="W10" i="76" s="1"/>
  <c r="V10" i="76"/>
  <c r="M48" i="125"/>
  <c r="V48" i="125" s="1"/>
  <c r="U48" i="125"/>
  <c r="I48" i="116"/>
  <c r="J48" i="116" s="1"/>
  <c r="L48" i="116" s="1"/>
  <c r="M48" i="33"/>
  <c r="J48" i="33"/>
  <c r="I48" i="113"/>
  <c r="J48" i="113" s="1"/>
  <c r="L48" i="113" s="1"/>
  <c r="M48" i="113" s="1"/>
  <c r="U48" i="128"/>
  <c r="M48" i="128"/>
  <c r="V48" i="128" s="1"/>
  <c r="U64" i="118"/>
  <c r="M64" i="118"/>
  <c r="V64" i="118" s="1"/>
  <c r="D47" i="67"/>
  <c r="E47" i="67" s="1"/>
  <c r="F47" i="67" s="1"/>
  <c r="G47" i="67" s="1"/>
  <c r="AC47" i="33"/>
  <c r="M50" i="129"/>
  <c r="V50" i="129" s="1"/>
  <c r="U50" i="129"/>
  <c r="U50" i="128"/>
  <c r="M50" i="128"/>
  <c r="V50" i="128" s="1"/>
  <c r="I50" i="117"/>
  <c r="J50" i="117" s="1"/>
  <c r="L50" i="117" s="1"/>
  <c r="N50" i="33"/>
  <c r="I72" i="76"/>
  <c r="R75" i="33" s="1"/>
  <c r="K75" i="33"/>
  <c r="I75" i="114"/>
  <c r="J75" i="114" s="1"/>
  <c r="L75" i="114" s="1"/>
  <c r="U75" i="125"/>
  <c r="M75" i="125"/>
  <c r="V75" i="125" s="1"/>
  <c r="M75" i="126"/>
  <c r="V75" i="126" s="1"/>
  <c r="U75" i="126"/>
  <c r="M75" i="131"/>
  <c r="V75" i="131" s="1"/>
  <c r="U75" i="131"/>
  <c r="AX61" i="1"/>
  <c r="AV61" i="1"/>
  <c r="I65" i="117"/>
  <c r="J65" i="117" s="1"/>
  <c r="L65" i="117" s="1"/>
  <c r="N65" i="33"/>
  <c r="I65" i="115"/>
  <c r="J65" i="115" s="1"/>
  <c r="L65" i="115" s="1"/>
  <c r="L65" i="33"/>
  <c r="M65" i="126"/>
  <c r="V65" i="126" s="1"/>
  <c r="U65" i="126"/>
  <c r="U65" i="125"/>
  <c r="M65" i="125"/>
  <c r="V65" i="125" s="1"/>
  <c r="V63" i="76"/>
  <c r="N63" i="76"/>
  <c r="W63" i="76" s="1"/>
  <c r="N66" i="33"/>
  <c r="I66" i="117"/>
  <c r="J66" i="117" s="1"/>
  <c r="L66" i="117" s="1"/>
  <c r="M66" i="125"/>
  <c r="V66" i="125" s="1"/>
  <c r="U66" i="125"/>
  <c r="M66" i="127"/>
  <c r="V66" i="127" s="1"/>
  <c r="U66" i="127"/>
  <c r="V27" i="113"/>
  <c r="U27" i="113"/>
  <c r="U70" i="113"/>
  <c r="V70" i="113"/>
  <c r="I54" i="80"/>
  <c r="S57" i="33" s="1"/>
  <c r="U57" i="129"/>
  <c r="M57" i="129"/>
  <c r="V57" i="129" s="1"/>
  <c r="N54" i="76"/>
  <c r="W54" i="76" s="1"/>
  <c r="V54" i="76"/>
  <c r="M57" i="128"/>
  <c r="V57" i="128" s="1"/>
  <c r="U57" i="128"/>
  <c r="M57" i="33"/>
  <c r="I57" i="116"/>
  <c r="J57" i="116" s="1"/>
  <c r="L57" i="116" s="1"/>
  <c r="D11" i="67"/>
  <c r="E11" i="67" s="1"/>
  <c r="F11" i="67" s="1"/>
  <c r="G11" i="67" s="1"/>
  <c r="AC11" i="33"/>
  <c r="D35" i="67"/>
  <c r="E35" i="67" s="1"/>
  <c r="F35" i="67" s="1"/>
  <c r="G35" i="67" s="1"/>
  <c r="AC35" i="33"/>
  <c r="I14" i="76"/>
  <c r="R17" i="33" s="1"/>
  <c r="U17" i="126"/>
  <c r="M17" i="126"/>
  <c r="V17" i="126" s="1"/>
  <c r="J14" i="80"/>
  <c r="K14" i="80" s="1"/>
  <c r="M14" i="80" s="1"/>
  <c r="S17" i="33"/>
  <c r="P17" i="33"/>
  <c r="I17" i="119"/>
  <c r="J17" i="119" s="1"/>
  <c r="L17" i="119" s="1"/>
  <c r="M17" i="131"/>
  <c r="V17" i="131" s="1"/>
  <c r="U17" i="131"/>
  <c r="U8" i="128"/>
  <c r="M8" i="128"/>
  <c r="V8" i="128" s="1"/>
  <c r="I5" i="80"/>
  <c r="S8" i="33" s="1"/>
  <c r="M8" i="129"/>
  <c r="V8" i="129" s="1"/>
  <c r="U8" i="129"/>
  <c r="I8" i="114"/>
  <c r="J8" i="114" s="1"/>
  <c r="L8" i="114" s="1"/>
  <c r="K8" i="33"/>
  <c r="I8" i="117"/>
  <c r="J8" i="117" s="1"/>
  <c r="L8" i="117" s="1"/>
  <c r="N8" i="33"/>
  <c r="M24" i="129"/>
  <c r="V24" i="129" s="1"/>
  <c r="U24" i="129"/>
  <c r="E21" i="80"/>
  <c r="H21" i="80" s="1"/>
  <c r="J21" i="80" s="1"/>
  <c r="K21" i="80" s="1"/>
  <c r="M21" i="80" s="1"/>
  <c r="I21" i="80"/>
  <c r="U24" i="128"/>
  <c r="M24" i="128"/>
  <c r="V24" i="128" s="1"/>
  <c r="U24" i="131"/>
  <c r="M24" i="131"/>
  <c r="V24" i="131" s="1"/>
  <c r="M49" i="114"/>
  <c r="V49" i="114" s="1"/>
  <c r="U49" i="114"/>
  <c r="U13" i="113"/>
  <c r="V13" i="113"/>
  <c r="U38" i="116"/>
  <c r="M38" i="116"/>
  <c r="V38" i="116" s="1"/>
  <c r="U55" i="120"/>
  <c r="M55" i="120"/>
  <c r="V55" i="120" s="1"/>
  <c r="U55" i="114"/>
  <c r="M55" i="114"/>
  <c r="V55" i="114" s="1"/>
  <c r="AQ22" i="1"/>
  <c r="AX22" i="1"/>
  <c r="AV22" i="1"/>
  <c r="U27" i="116"/>
  <c r="M27" i="116"/>
  <c r="V27" i="116" s="1"/>
  <c r="AC57" i="33"/>
  <c r="D57" i="67"/>
  <c r="E57" i="67" s="1"/>
  <c r="F57" i="67" s="1"/>
  <c r="G57" i="67" s="1"/>
  <c r="U40" i="113"/>
  <c r="V40" i="113"/>
  <c r="P67" i="33"/>
  <c r="I67" i="119"/>
  <c r="J67" i="119" s="1"/>
  <c r="L67" i="119" s="1"/>
  <c r="N64" i="76"/>
  <c r="W64" i="76" s="1"/>
  <c r="V64" i="76"/>
  <c r="U67" i="125"/>
  <c r="M67" i="125"/>
  <c r="V67" i="125" s="1"/>
  <c r="I67" i="113"/>
  <c r="J67" i="113" s="1"/>
  <c r="L67" i="113" s="1"/>
  <c r="M67" i="113" s="1"/>
  <c r="J67" i="33"/>
  <c r="U31" i="119"/>
  <c r="M31" i="119"/>
  <c r="V31" i="119" s="1"/>
  <c r="I34" i="80"/>
  <c r="S37" i="33" s="1"/>
  <c r="L37" i="33"/>
  <c r="I37" i="115"/>
  <c r="J37" i="115" s="1"/>
  <c r="L37" i="115" s="1"/>
  <c r="M37" i="128"/>
  <c r="V37" i="128" s="1"/>
  <c r="U37" i="128"/>
  <c r="O37" i="33"/>
  <c r="I37" i="118"/>
  <c r="J37" i="118" s="1"/>
  <c r="L37" i="118" s="1"/>
  <c r="M37" i="126"/>
  <c r="V37" i="126" s="1"/>
  <c r="U37" i="126"/>
  <c r="I32" i="76"/>
  <c r="R35" i="33" s="1"/>
  <c r="U64" i="119"/>
  <c r="M64" i="119"/>
  <c r="V64" i="119" s="1"/>
  <c r="U35" i="131"/>
  <c r="M35" i="131"/>
  <c r="V35" i="131" s="1"/>
  <c r="I35" i="119"/>
  <c r="J35" i="119" s="1"/>
  <c r="L35" i="119" s="1"/>
  <c r="P35" i="33"/>
  <c r="U35" i="129"/>
  <c r="M35" i="129"/>
  <c r="V35" i="129" s="1"/>
  <c r="I35" i="115"/>
  <c r="J35" i="115" s="1"/>
  <c r="L35" i="115" s="1"/>
  <c r="L35" i="33"/>
  <c r="AC68" i="33"/>
  <c r="D68" i="67"/>
  <c r="E68" i="67" s="1"/>
  <c r="F68" i="67" s="1"/>
  <c r="G68" i="67" s="1"/>
  <c r="AQ25" i="1"/>
  <c r="N35" i="80"/>
  <c r="W35" i="80" s="1"/>
  <c r="V35" i="80"/>
  <c r="M19" i="118"/>
  <c r="V19" i="118" s="1"/>
  <c r="U19" i="118"/>
  <c r="I47" i="116"/>
  <c r="J47" i="116" s="1"/>
  <c r="L47" i="116" s="1"/>
  <c r="M47" i="33"/>
  <c r="Q47" i="33"/>
  <c r="I47" i="120"/>
  <c r="J47" i="120" s="1"/>
  <c r="L47" i="120" s="1"/>
  <c r="U47" i="127"/>
  <c r="M47" i="127"/>
  <c r="V47" i="127" s="1"/>
  <c r="P47" i="33"/>
  <c r="I47" i="119"/>
  <c r="J47" i="119" s="1"/>
  <c r="L47" i="119" s="1"/>
  <c r="AQ51" i="1"/>
  <c r="AV51" i="1"/>
  <c r="AX51" i="1"/>
  <c r="I43" i="114"/>
  <c r="J43" i="114" s="1"/>
  <c r="L43" i="114" s="1"/>
  <c r="K43" i="33"/>
  <c r="I43" i="115"/>
  <c r="J43" i="115" s="1"/>
  <c r="L43" i="115" s="1"/>
  <c r="L43" i="33"/>
  <c r="M43" i="127"/>
  <c r="V43" i="127" s="1"/>
  <c r="U43" i="127"/>
  <c r="U43" i="128"/>
  <c r="M43" i="128"/>
  <c r="V43" i="128" s="1"/>
  <c r="S31" i="33"/>
  <c r="I13" i="80"/>
  <c r="S16" i="33" s="1"/>
  <c r="I16" i="120"/>
  <c r="J16" i="120" s="1"/>
  <c r="L16" i="120" s="1"/>
  <c r="Q16" i="33"/>
  <c r="J13" i="76"/>
  <c r="K13" i="76" s="1"/>
  <c r="M13" i="76" s="1"/>
  <c r="M16" i="131"/>
  <c r="V16" i="131" s="1"/>
  <c r="U16" i="131"/>
  <c r="M16" i="125"/>
  <c r="V16" i="125" s="1"/>
  <c r="U16" i="125"/>
  <c r="AQ33" i="1"/>
  <c r="AX33" i="1"/>
  <c r="AV33" i="1"/>
  <c r="E15" i="80"/>
  <c r="H15" i="80" s="1"/>
  <c r="J15" i="80" s="1"/>
  <c r="K15" i="80" s="1"/>
  <c r="M15" i="80" s="1"/>
  <c r="I15" i="80"/>
  <c r="N18" i="33"/>
  <c r="I18" i="117"/>
  <c r="J18" i="117" s="1"/>
  <c r="L18" i="117" s="1"/>
  <c r="M39" i="116"/>
  <c r="V39" i="116" s="1"/>
  <c r="U39" i="116"/>
  <c r="M73" i="33"/>
  <c r="I73" i="116"/>
  <c r="J73" i="116" s="1"/>
  <c r="L73" i="116" s="1"/>
  <c r="E70" i="80"/>
  <c r="H70" i="80" s="1"/>
  <c r="J70" i="80" s="1"/>
  <c r="K70" i="80" s="1"/>
  <c r="M70" i="80" s="1"/>
  <c r="I70" i="80"/>
  <c r="O73" i="33"/>
  <c r="I73" i="118"/>
  <c r="J73" i="118" s="1"/>
  <c r="L73" i="118" s="1"/>
  <c r="Q73" i="33"/>
  <c r="I73" i="120"/>
  <c r="J73" i="120" s="1"/>
  <c r="L73" i="120" s="1"/>
  <c r="I9" i="113"/>
  <c r="J9" i="113" s="1"/>
  <c r="L9" i="113" s="1"/>
  <c r="M9" i="113" s="1"/>
  <c r="J9" i="33"/>
  <c r="U9" i="127"/>
  <c r="M9" i="127"/>
  <c r="V9" i="127" s="1"/>
  <c r="U9" i="125"/>
  <c r="M9" i="125"/>
  <c r="V9" i="125" s="1"/>
  <c r="E6" i="80"/>
  <c r="H6" i="80" s="1"/>
  <c r="J6" i="80" s="1"/>
  <c r="K6" i="80" s="1"/>
  <c r="M6" i="80" s="1"/>
  <c r="I6" i="80"/>
  <c r="R49" i="33"/>
  <c r="J46" i="76"/>
  <c r="K46" i="76" s="1"/>
  <c r="M46" i="76" s="1"/>
  <c r="M38" i="120"/>
  <c r="V38" i="120" s="1"/>
  <c r="U38" i="120"/>
  <c r="M55" i="117"/>
  <c r="X55" i="117" s="1"/>
  <c r="O55" i="117"/>
  <c r="W55" i="117" s="1"/>
  <c r="I29" i="118"/>
  <c r="J29" i="118" s="1"/>
  <c r="L29" i="118" s="1"/>
  <c r="O29" i="33"/>
  <c r="I29" i="115"/>
  <c r="J29" i="115" s="1"/>
  <c r="L29" i="115" s="1"/>
  <c r="L29" i="33"/>
  <c r="U29" i="126"/>
  <c r="M29" i="126"/>
  <c r="V29" i="126" s="1"/>
  <c r="K29" i="33"/>
  <c r="I29" i="114"/>
  <c r="J29" i="114" s="1"/>
  <c r="L29" i="114" s="1"/>
  <c r="O21" i="33"/>
  <c r="I21" i="118"/>
  <c r="J21" i="118" s="1"/>
  <c r="L21" i="118" s="1"/>
  <c r="U21" i="129"/>
  <c r="M21" i="129"/>
  <c r="V21" i="129" s="1"/>
  <c r="E18" i="80"/>
  <c r="H18" i="80" s="1"/>
  <c r="J18" i="80" s="1"/>
  <c r="K18" i="80" s="1"/>
  <c r="M18" i="80" s="1"/>
  <c r="I18" i="80"/>
  <c r="I21" i="113"/>
  <c r="J21" i="113" s="1"/>
  <c r="L21" i="113" s="1"/>
  <c r="M21" i="113" s="1"/>
  <c r="J21" i="33"/>
  <c r="D66" i="67"/>
  <c r="E66" i="67" s="1"/>
  <c r="F66" i="67" s="1"/>
  <c r="G66" i="67" s="1"/>
  <c r="AC66" i="33"/>
  <c r="I30" i="76"/>
  <c r="R33" i="33" s="1"/>
  <c r="I33" i="117"/>
  <c r="J33" i="117" s="1"/>
  <c r="L33" i="117" s="1"/>
  <c r="N33" i="33"/>
  <c r="I33" i="120"/>
  <c r="J33" i="120" s="1"/>
  <c r="L33" i="120" s="1"/>
  <c r="Q33" i="33"/>
  <c r="I33" i="113"/>
  <c r="J33" i="113" s="1"/>
  <c r="L33" i="113" s="1"/>
  <c r="M33" i="113" s="1"/>
  <c r="J33" i="33"/>
  <c r="I33" i="118"/>
  <c r="J33" i="118" s="1"/>
  <c r="L33" i="118" s="1"/>
  <c r="O33" i="33"/>
  <c r="M70" i="115"/>
  <c r="V70" i="115" s="1"/>
  <c r="U70" i="115"/>
  <c r="M40" i="115"/>
  <c r="V40" i="115" s="1"/>
  <c r="U40" i="115"/>
  <c r="I26" i="119"/>
  <c r="J26" i="119" s="1"/>
  <c r="L26" i="119" s="1"/>
  <c r="P26" i="33"/>
  <c r="U26" i="126"/>
  <c r="M26" i="126"/>
  <c r="V26" i="126" s="1"/>
  <c r="U26" i="131"/>
  <c r="M26" i="131"/>
  <c r="V26" i="131" s="1"/>
  <c r="I26" i="114"/>
  <c r="J26" i="114" s="1"/>
  <c r="L26" i="114" s="1"/>
  <c r="K26" i="33"/>
  <c r="AQ76" i="1"/>
  <c r="AX76" i="1"/>
  <c r="AV76" i="1"/>
  <c r="M60" i="33"/>
  <c r="I60" i="116"/>
  <c r="J60" i="116" s="1"/>
  <c r="L60" i="116" s="1"/>
  <c r="M60" i="125"/>
  <c r="V60" i="125" s="1"/>
  <c r="U60" i="125"/>
  <c r="V57" i="76"/>
  <c r="N57" i="76"/>
  <c r="W57" i="76" s="1"/>
  <c r="J60" i="33"/>
  <c r="I60" i="113"/>
  <c r="J60" i="113" s="1"/>
  <c r="L60" i="113" s="1"/>
  <c r="M60" i="113" s="1"/>
  <c r="D37" i="67"/>
  <c r="E37" i="67" s="1"/>
  <c r="F37" i="67" s="1"/>
  <c r="G37" i="67" s="1"/>
  <c r="AC37" i="33"/>
  <c r="N51" i="76"/>
  <c r="W51" i="76" s="1"/>
  <c r="V51" i="76"/>
  <c r="U54" i="129"/>
  <c r="M54" i="129"/>
  <c r="V54" i="129" s="1"/>
  <c r="I54" i="113"/>
  <c r="J54" i="113" s="1"/>
  <c r="L54" i="113" s="1"/>
  <c r="M54" i="113" s="1"/>
  <c r="J54" i="33"/>
  <c r="I54" i="114"/>
  <c r="J54" i="114" s="1"/>
  <c r="L54" i="114" s="1"/>
  <c r="K54" i="33"/>
  <c r="AQ10" i="1"/>
  <c r="J29" i="80"/>
  <c r="K29" i="80" s="1"/>
  <c r="M29" i="80" s="1"/>
  <c r="J32" i="33"/>
  <c r="I32" i="113"/>
  <c r="J32" i="113" s="1"/>
  <c r="L32" i="113" s="1"/>
  <c r="M32" i="113" s="1"/>
  <c r="I32" i="118"/>
  <c r="J32" i="118" s="1"/>
  <c r="L32" i="118" s="1"/>
  <c r="O32" i="33"/>
  <c r="I29" i="80"/>
  <c r="S32" i="33" s="1"/>
  <c r="M32" i="126"/>
  <c r="V32" i="126" s="1"/>
  <c r="U32" i="126"/>
  <c r="M11" i="33"/>
  <c r="I11" i="116"/>
  <c r="J11" i="116" s="1"/>
  <c r="L11" i="116" s="1"/>
  <c r="N11" i="33"/>
  <c r="I11" i="117"/>
  <c r="J11" i="117" s="1"/>
  <c r="L11" i="117" s="1"/>
  <c r="J8" i="76"/>
  <c r="K8" i="76" s="1"/>
  <c r="M8" i="76" s="1"/>
  <c r="I11" i="118"/>
  <c r="J11" i="118" s="1"/>
  <c r="L11" i="118" s="1"/>
  <c r="O11" i="33"/>
  <c r="U41" i="127"/>
  <c r="M41" i="127"/>
  <c r="V41" i="127" s="1"/>
  <c r="E38" i="80"/>
  <c r="H38" i="80" s="1"/>
  <c r="J38" i="80" s="1"/>
  <c r="K38" i="80" s="1"/>
  <c r="M38" i="80" s="1"/>
  <c r="I38" i="80"/>
  <c r="I41" i="116"/>
  <c r="J41" i="116" s="1"/>
  <c r="L41" i="116" s="1"/>
  <c r="M41" i="33"/>
  <c r="U41" i="131"/>
  <c r="M41" i="131"/>
  <c r="V41" i="131" s="1"/>
  <c r="J38" i="67"/>
  <c r="K38" i="67" s="1"/>
  <c r="W38" i="67" s="1"/>
  <c r="T38" i="67"/>
  <c r="AQ49" i="1"/>
  <c r="AX49" i="1"/>
  <c r="AV49" i="1"/>
  <c r="M49" i="120"/>
  <c r="V49" i="120" s="1"/>
  <c r="U49" i="120"/>
  <c r="AQ27" i="1"/>
  <c r="AX27" i="1"/>
  <c r="AV27" i="1"/>
  <c r="AQ68" i="1"/>
  <c r="AX68" i="1"/>
  <c r="AV68" i="1"/>
  <c r="I44" i="76"/>
  <c r="R47" i="33" s="1"/>
  <c r="AC16" i="33"/>
  <c r="D16" i="67"/>
  <c r="E16" i="67" s="1"/>
  <c r="F16" i="67" s="1"/>
  <c r="G16" i="67" s="1"/>
  <c r="AQ34" i="1"/>
  <c r="AC33" i="33"/>
  <c r="D33" i="67"/>
  <c r="E33" i="67" s="1"/>
  <c r="F33" i="67" s="1"/>
  <c r="G33" i="67" s="1"/>
  <c r="M69" i="119"/>
  <c r="V69" i="119" s="1"/>
  <c r="U69" i="119"/>
  <c r="M69" i="114"/>
  <c r="V69" i="114" s="1"/>
  <c r="U69" i="114"/>
  <c r="K68" i="33"/>
  <c r="I68" i="114"/>
  <c r="J68" i="114" s="1"/>
  <c r="L68" i="114" s="1"/>
  <c r="U68" i="125"/>
  <c r="M68" i="125"/>
  <c r="V68" i="125" s="1"/>
  <c r="I68" i="117"/>
  <c r="J68" i="117" s="1"/>
  <c r="L68" i="117" s="1"/>
  <c r="N68" i="33"/>
  <c r="M68" i="129"/>
  <c r="V68" i="129" s="1"/>
  <c r="U68" i="129"/>
  <c r="U38" i="119"/>
  <c r="M38" i="119"/>
  <c r="V38" i="119" s="1"/>
  <c r="T55" i="33"/>
  <c r="U55" i="33" s="1"/>
  <c r="I45" i="76"/>
  <c r="R48" i="33" s="1"/>
  <c r="U48" i="129"/>
  <c r="M48" i="129"/>
  <c r="V48" i="129" s="1"/>
  <c r="I48" i="118"/>
  <c r="J48" i="118" s="1"/>
  <c r="L48" i="118" s="1"/>
  <c r="O48" i="33"/>
  <c r="P48" i="33"/>
  <c r="I48" i="119"/>
  <c r="J48" i="119" s="1"/>
  <c r="L48" i="119" s="1"/>
  <c r="Q48" i="33"/>
  <c r="I48" i="120"/>
  <c r="J48" i="120" s="1"/>
  <c r="L48" i="120" s="1"/>
  <c r="L50" i="33"/>
  <c r="I50" i="115"/>
  <c r="J50" i="115" s="1"/>
  <c r="L50" i="115" s="1"/>
  <c r="U50" i="127"/>
  <c r="M50" i="127"/>
  <c r="V50" i="127" s="1"/>
  <c r="P50" i="33"/>
  <c r="I50" i="119"/>
  <c r="J50" i="119" s="1"/>
  <c r="L50" i="119" s="1"/>
  <c r="N72" i="80"/>
  <c r="W72" i="80" s="1"/>
  <c r="V72" i="80"/>
  <c r="I75" i="115"/>
  <c r="J75" i="115" s="1"/>
  <c r="L75" i="115" s="1"/>
  <c r="L75" i="33"/>
  <c r="I75" i="118"/>
  <c r="J75" i="118" s="1"/>
  <c r="L75" i="118" s="1"/>
  <c r="O75" i="33"/>
  <c r="J75" i="33"/>
  <c r="I75" i="113"/>
  <c r="J75" i="113" s="1"/>
  <c r="L75" i="113" s="1"/>
  <c r="M75" i="113" s="1"/>
  <c r="M14" i="117"/>
  <c r="X14" i="117" s="1"/>
  <c r="O14" i="117"/>
  <c r="W14" i="117" s="1"/>
  <c r="I62" i="80"/>
  <c r="S65" i="33" s="1"/>
  <c r="O65" i="33"/>
  <c r="I65" i="118"/>
  <c r="J65" i="118" s="1"/>
  <c r="L65" i="118" s="1"/>
  <c r="M65" i="129"/>
  <c r="V65" i="129" s="1"/>
  <c r="U65" i="129"/>
  <c r="I65" i="114"/>
  <c r="J65" i="114" s="1"/>
  <c r="L65" i="114" s="1"/>
  <c r="K65" i="33"/>
  <c r="M65" i="33"/>
  <c r="I65" i="116"/>
  <c r="J65" i="116" s="1"/>
  <c r="L65" i="116" s="1"/>
  <c r="M66" i="129"/>
  <c r="V66" i="129" s="1"/>
  <c r="U66" i="129"/>
  <c r="I66" i="120"/>
  <c r="J66" i="120" s="1"/>
  <c r="L66" i="120" s="1"/>
  <c r="Q66" i="33"/>
  <c r="V63" i="80"/>
  <c r="N63" i="80"/>
  <c r="W63" i="80" s="1"/>
  <c r="P66" i="33"/>
  <c r="I66" i="119"/>
  <c r="J66" i="119" s="1"/>
  <c r="L66" i="119" s="1"/>
  <c r="I54" i="76"/>
  <c r="R57" i="33" s="1"/>
  <c r="O57" i="33"/>
  <c r="I57" i="118"/>
  <c r="J57" i="118" s="1"/>
  <c r="L57" i="118" s="1"/>
  <c r="M57" i="131"/>
  <c r="V57" i="131" s="1"/>
  <c r="U57" i="131"/>
  <c r="P57" i="33"/>
  <c r="I57" i="119"/>
  <c r="J57" i="119" s="1"/>
  <c r="L57" i="119" s="1"/>
  <c r="L57" i="33"/>
  <c r="I57" i="115"/>
  <c r="J57" i="115" s="1"/>
  <c r="L57" i="115" s="1"/>
  <c r="AQ19" i="1"/>
  <c r="AV19" i="1"/>
  <c r="AX19" i="1"/>
  <c r="AC73" i="33"/>
  <c r="D73" i="67"/>
  <c r="E73" i="67" s="1"/>
  <c r="F73" i="67" s="1"/>
  <c r="G73" i="67" s="1"/>
  <c r="M17" i="128"/>
  <c r="V17" i="128" s="1"/>
  <c r="U17" i="128"/>
  <c r="M17" i="33"/>
  <c r="I17" i="116"/>
  <c r="J17" i="116" s="1"/>
  <c r="L17" i="116" s="1"/>
  <c r="I8" i="116"/>
  <c r="J8" i="116" s="1"/>
  <c r="L8" i="116" s="1"/>
  <c r="M8" i="33"/>
  <c r="U8" i="126"/>
  <c r="M8" i="126"/>
  <c r="V8" i="126" s="1"/>
  <c r="U24" i="126"/>
  <c r="M24" i="126"/>
  <c r="V24" i="126" s="1"/>
  <c r="E21" i="76"/>
  <c r="H21" i="76" s="1"/>
  <c r="J21" i="76" s="1"/>
  <c r="K21" i="76" s="1"/>
  <c r="M21" i="76" s="1"/>
  <c r="I21" i="76"/>
  <c r="N24" i="33"/>
  <c r="I24" i="117"/>
  <c r="J24" i="117" s="1"/>
  <c r="L24" i="117" s="1"/>
  <c r="M55" i="118"/>
  <c r="V55" i="118" s="1"/>
  <c r="U55" i="118"/>
  <c r="AQ58" i="1"/>
  <c r="AV58" i="1"/>
  <c r="AX58" i="1"/>
  <c r="N64" i="80"/>
  <c r="W64" i="80" s="1"/>
  <c r="V64" i="80"/>
  <c r="U67" i="128"/>
  <c r="M67" i="128"/>
  <c r="V67" i="128" s="1"/>
  <c r="J11" i="80"/>
  <c r="K11" i="80" s="1"/>
  <c r="M11" i="80" s="1"/>
  <c r="J34" i="80"/>
  <c r="K34" i="80" s="1"/>
  <c r="M34" i="80" s="1"/>
  <c r="I37" i="114"/>
  <c r="J37" i="114" s="1"/>
  <c r="L37" i="114" s="1"/>
  <c r="K37" i="33"/>
  <c r="M64" i="116"/>
  <c r="V64" i="116" s="1"/>
  <c r="U64" i="116"/>
  <c r="U64" i="113"/>
  <c r="V64" i="113"/>
  <c r="I35" i="113"/>
  <c r="J35" i="113" s="1"/>
  <c r="L35" i="113" s="1"/>
  <c r="M35" i="113" s="1"/>
  <c r="J35" i="33"/>
  <c r="Q35" i="33"/>
  <c r="I35" i="120"/>
  <c r="J35" i="120" s="1"/>
  <c r="L35" i="120" s="1"/>
  <c r="AV69" i="1"/>
  <c r="AX69" i="1"/>
  <c r="M47" i="125"/>
  <c r="V47" i="125" s="1"/>
  <c r="U47" i="125"/>
  <c r="U43" i="126"/>
  <c r="M43" i="126"/>
  <c r="V43" i="126" s="1"/>
  <c r="I43" i="117"/>
  <c r="J43" i="117" s="1"/>
  <c r="L43" i="117" s="1"/>
  <c r="N43" i="33"/>
  <c r="E40" i="76"/>
  <c r="H40" i="76" s="1"/>
  <c r="J40" i="76" s="1"/>
  <c r="K40" i="76" s="1"/>
  <c r="M40" i="76" s="1"/>
  <c r="I40" i="76"/>
  <c r="M14" i="114"/>
  <c r="V14" i="114" s="1"/>
  <c r="M16" i="129"/>
  <c r="V16" i="129" s="1"/>
  <c r="U16" i="129"/>
  <c r="U16" i="128"/>
  <c r="M16" i="128"/>
  <c r="V16" i="128" s="1"/>
  <c r="D32" i="67"/>
  <c r="E32" i="67" s="1"/>
  <c r="F32" i="67" s="1"/>
  <c r="G32" i="67" s="1"/>
  <c r="AC32" i="33"/>
  <c r="AX42" i="1"/>
  <c r="AQ42" i="1"/>
  <c r="AV42" i="1"/>
  <c r="E15" i="76"/>
  <c r="H15" i="76" s="1"/>
  <c r="J15" i="76" s="1"/>
  <c r="K15" i="76" s="1"/>
  <c r="M15" i="76" s="1"/>
  <c r="I15" i="76"/>
  <c r="U73" i="131"/>
  <c r="M73" i="131"/>
  <c r="V73" i="131" s="1"/>
  <c r="U73" i="128"/>
  <c r="M73" i="128"/>
  <c r="V73" i="128" s="1"/>
  <c r="Q9" i="33"/>
  <c r="I9" i="120"/>
  <c r="J9" i="120" s="1"/>
  <c r="L9" i="120" s="1"/>
  <c r="M9" i="33"/>
  <c r="I9" i="116"/>
  <c r="J9" i="116" s="1"/>
  <c r="L9" i="116" s="1"/>
  <c r="M55" i="119"/>
  <c r="V55" i="119" s="1"/>
  <c r="U55" i="119"/>
  <c r="E26" i="80"/>
  <c r="H26" i="80" s="1"/>
  <c r="J26" i="80" s="1"/>
  <c r="K26" i="80" s="1"/>
  <c r="M26" i="80" s="1"/>
  <c r="I26" i="80"/>
  <c r="M29" i="131"/>
  <c r="V29" i="131" s="1"/>
  <c r="U29" i="131"/>
  <c r="L21" i="33"/>
  <c r="I21" i="115"/>
  <c r="J21" i="115" s="1"/>
  <c r="L21" i="115" s="1"/>
  <c r="I33" i="116"/>
  <c r="J33" i="116" s="1"/>
  <c r="L33" i="116" s="1"/>
  <c r="M33" i="33"/>
  <c r="I33" i="114"/>
  <c r="J33" i="114" s="1"/>
  <c r="L33" i="114" s="1"/>
  <c r="K33" i="33"/>
  <c r="I33" i="115"/>
  <c r="J33" i="115" s="1"/>
  <c r="L33" i="115" s="1"/>
  <c r="L33" i="33"/>
  <c r="L26" i="33"/>
  <c r="I26" i="115"/>
  <c r="J26" i="115" s="1"/>
  <c r="L26" i="115" s="1"/>
  <c r="J49" i="67"/>
  <c r="K49" i="67" s="1"/>
  <c r="W49" i="67" s="1"/>
  <c r="T49" i="67"/>
  <c r="I60" i="114"/>
  <c r="J60" i="114" s="1"/>
  <c r="L60" i="114" s="1"/>
  <c r="K60" i="33"/>
  <c r="M60" i="129"/>
  <c r="V60" i="129" s="1"/>
  <c r="U60" i="129"/>
  <c r="P54" i="33"/>
  <c r="I54" i="119"/>
  <c r="J54" i="119" s="1"/>
  <c r="L54" i="119" s="1"/>
  <c r="Q54" i="33"/>
  <c r="I54" i="120"/>
  <c r="J54" i="120" s="1"/>
  <c r="L54" i="120" s="1"/>
  <c r="U32" i="125"/>
  <c r="M32" i="125"/>
  <c r="V32" i="125" s="1"/>
  <c r="M32" i="131"/>
  <c r="V32" i="131" s="1"/>
  <c r="U32" i="131"/>
  <c r="M11" i="126"/>
  <c r="V11" i="126" s="1"/>
  <c r="U11" i="126"/>
  <c r="U11" i="128"/>
  <c r="M11" i="128"/>
  <c r="V11" i="128" s="1"/>
  <c r="E38" i="76"/>
  <c r="H38" i="76" s="1"/>
  <c r="J38" i="76" s="1"/>
  <c r="K38" i="76" s="1"/>
  <c r="M38" i="76" s="1"/>
  <c r="I38" i="76"/>
  <c r="I41" i="117"/>
  <c r="J41" i="117" s="1"/>
  <c r="L41" i="117" s="1"/>
  <c r="N41" i="33"/>
  <c r="D17" i="67"/>
  <c r="E17" i="67" s="1"/>
  <c r="F17" i="67" s="1"/>
  <c r="G17" i="67" s="1"/>
  <c r="AC17" i="33"/>
  <c r="U70" i="119"/>
  <c r="M70" i="119"/>
  <c r="V70" i="119" s="1"/>
  <c r="M14" i="120"/>
  <c r="V14" i="120" s="1"/>
  <c r="U14" i="120"/>
  <c r="AQ17" i="1"/>
  <c r="AV17" i="1"/>
  <c r="AX17" i="1"/>
  <c r="U68" i="128"/>
  <c r="M68" i="128"/>
  <c r="V68" i="128" s="1"/>
  <c r="J68" i="33"/>
  <c r="I68" i="113"/>
  <c r="J68" i="113" s="1"/>
  <c r="L68" i="113" s="1"/>
  <c r="M68" i="113" s="1"/>
  <c r="N52" i="76"/>
  <c r="W52" i="76" s="1"/>
  <c r="V52" i="76"/>
  <c r="U48" i="127"/>
  <c r="M48" i="127"/>
  <c r="V48" i="127" s="1"/>
  <c r="N48" i="33"/>
  <c r="I48" i="117"/>
  <c r="J48" i="117" s="1"/>
  <c r="L48" i="117" s="1"/>
  <c r="I48" i="115"/>
  <c r="J48" i="115" s="1"/>
  <c r="L48" i="115" s="1"/>
  <c r="L48" i="33"/>
  <c r="AQ48" i="1"/>
  <c r="AX48" i="1"/>
  <c r="AV48" i="1"/>
  <c r="O50" i="33"/>
  <c r="I50" i="118"/>
  <c r="J50" i="118" s="1"/>
  <c r="L50" i="118" s="1"/>
  <c r="I50" i="116"/>
  <c r="J50" i="116" s="1"/>
  <c r="L50" i="116" s="1"/>
  <c r="M50" i="33"/>
  <c r="N72" i="76"/>
  <c r="W72" i="76" s="1"/>
  <c r="V72" i="76"/>
  <c r="U75" i="127"/>
  <c r="M75" i="127"/>
  <c r="V75" i="127" s="1"/>
  <c r="M75" i="128"/>
  <c r="V75" i="128" s="1"/>
  <c r="U75" i="128"/>
  <c r="I65" i="113"/>
  <c r="J65" i="113" s="1"/>
  <c r="L65" i="113" s="1"/>
  <c r="M65" i="113" s="1"/>
  <c r="J65" i="33"/>
  <c r="I65" i="119"/>
  <c r="J65" i="119" s="1"/>
  <c r="L65" i="119" s="1"/>
  <c r="P65" i="33"/>
  <c r="U65" i="127"/>
  <c r="M65" i="127"/>
  <c r="V65" i="127" s="1"/>
  <c r="U65" i="128"/>
  <c r="M65" i="128"/>
  <c r="V65" i="128" s="1"/>
  <c r="AQ30" i="1"/>
  <c r="AV30" i="1"/>
  <c r="AX30" i="1"/>
  <c r="M66" i="131"/>
  <c r="V66" i="131" s="1"/>
  <c r="U66" i="131"/>
  <c r="J66" i="33"/>
  <c r="I66" i="113"/>
  <c r="J66" i="113" s="1"/>
  <c r="L66" i="113" s="1"/>
  <c r="M66" i="113" s="1"/>
  <c r="I66" i="118"/>
  <c r="J66" i="118" s="1"/>
  <c r="L66" i="118" s="1"/>
  <c r="O66" i="33"/>
  <c r="M66" i="33"/>
  <c r="I66" i="116"/>
  <c r="J66" i="116" s="1"/>
  <c r="L66" i="116" s="1"/>
  <c r="U27" i="119"/>
  <c r="M27" i="119"/>
  <c r="V27" i="119" s="1"/>
  <c r="M70" i="117"/>
  <c r="X70" i="117" s="1"/>
  <c r="O70" i="117"/>
  <c r="W70" i="117" s="1"/>
  <c r="H11" i="137"/>
  <c r="E18" i="137"/>
  <c r="E22" i="137" s="1"/>
  <c r="M57" i="127"/>
  <c r="V57" i="127" s="1"/>
  <c r="U57" i="127"/>
  <c r="M57" i="125"/>
  <c r="V57" i="125" s="1"/>
  <c r="U57" i="125"/>
  <c r="I57" i="113"/>
  <c r="J57" i="113" s="1"/>
  <c r="L57" i="113" s="1"/>
  <c r="M57" i="113" s="1"/>
  <c r="J57" i="33"/>
  <c r="N57" i="33"/>
  <c r="I57" i="117"/>
  <c r="J57" i="117" s="1"/>
  <c r="L57" i="117" s="1"/>
  <c r="N20" i="80"/>
  <c r="W20" i="80" s="1"/>
  <c r="V20" i="80"/>
  <c r="V23" i="113"/>
  <c r="U23" i="113"/>
  <c r="U23" i="114"/>
  <c r="M23" i="114"/>
  <c r="V23" i="114" s="1"/>
  <c r="M23" i="115"/>
  <c r="V23" i="115" s="1"/>
  <c r="U23" i="115"/>
  <c r="U23" i="118"/>
  <c r="M23" i="118"/>
  <c r="V23" i="118" s="1"/>
  <c r="T23" i="67"/>
  <c r="J23" i="67"/>
  <c r="K23" i="67" s="1"/>
  <c r="W23" i="67" s="1"/>
  <c r="R23" i="33"/>
  <c r="M23" i="116"/>
  <c r="V23" i="116" s="1"/>
  <c r="U23" i="116"/>
  <c r="V20" i="76"/>
  <c r="N20" i="76"/>
  <c r="W20" i="76" s="1"/>
  <c r="K17" i="46"/>
  <c r="I18" i="46"/>
  <c r="O23" i="117"/>
  <c r="W23" i="117" s="1"/>
  <c r="M23" i="117"/>
  <c r="X23" i="117" s="1"/>
  <c r="S23" i="33"/>
  <c r="M23" i="120"/>
  <c r="V23" i="120" s="1"/>
  <c r="U23" i="120"/>
  <c r="L10" i="46"/>
  <c r="N10" i="46" s="1"/>
  <c r="O10" i="46" s="1"/>
  <c r="H18" i="46"/>
  <c r="U23" i="119"/>
  <c r="M23" i="119"/>
  <c r="V23" i="119" s="1"/>
  <c r="L15" i="67"/>
  <c r="AT16" i="1"/>
  <c r="AS77" i="1"/>
  <c r="AT77" i="1" s="1"/>
  <c r="E85" i="81"/>
  <c r="F81" i="25"/>
  <c r="G36" i="81"/>
  <c r="H36" i="81"/>
  <c r="AE16" i="1"/>
  <c r="AD77" i="1"/>
  <c r="H26" i="81"/>
  <c r="G26" i="81"/>
  <c r="N10" i="137"/>
  <c r="N65" i="76"/>
  <c r="W65" i="76" s="1"/>
  <c r="V65" i="76"/>
  <c r="V22" i="33"/>
  <c r="C21" i="72" s="1"/>
  <c r="AD22" i="33"/>
  <c r="AE22" i="33" s="1"/>
  <c r="V65" i="80"/>
  <c r="N65" i="80"/>
  <c r="W65" i="80" s="1"/>
  <c r="V42" i="76"/>
  <c r="N42" i="76"/>
  <c r="W42" i="76" s="1"/>
  <c r="AD74" i="33"/>
  <c r="AE74" i="33" s="1"/>
  <c r="V74" i="33"/>
  <c r="C73" i="72" s="1"/>
  <c r="C62" i="100"/>
  <c r="X62" i="100" s="1"/>
  <c r="H69" i="31"/>
  <c r="H70" i="31" s="1"/>
  <c r="J12" i="31"/>
  <c r="J69" i="31" s="1"/>
  <c r="J70" i="31" s="1"/>
  <c r="V61" i="33"/>
  <c r="C60" i="72" s="1"/>
  <c r="AD61" i="33"/>
  <c r="AE61" i="33" s="1"/>
  <c r="AD12" i="33"/>
  <c r="AE12" i="33" s="1"/>
  <c r="V12" i="33"/>
  <c r="C11" i="72" s="1"/>
  <c r="T45" i="33"/>
  <c r="U45" i="33" s="1"/>
  <c r="X45" i="33" s="1"/>
  <c r="N42" i="80"/>
  <c r="W42" i="80" s="1"/>
  <c r="V42" i="80"/>
  <c r="C33" i="100"/>
  <c r="X33" i="100" s="1"/>
  <c r="C70" i="100"/>
  <c r="X70" i="100" s="1"/>
  <c r="C58" i="100"/>
  <c r="X58" i="100" s="1"/>
  <c r="W6" i="100"/>
  <c r="AL8" i="1"/>
  <c r="S7" i="67"/>
  <c r="C7" i="33"/>
  <c r="BA8" i="1"/>
  <c r="AP8" i="1"/>
  <c r="AW8" i="1"/>
  <c r="M39" i="113" l="1"/>
  <c r="V39" i="113" s="1"/>
  <c r="M14" i="113"/>
  <c r="V14" i="113" s="1"/>
  <c r="Y57" i="72"/>
  <c r="AS57" i="72" s="1"/>
  <c r="Y33" i="72"/>
  <c r="AS33" i="72" s="1"/>
  <c r="Y60" i="72"/>
  <c r="AS60" i="72" s="1"/>
  <c r="Y21" i="72"/>
  <c r="AS21" i="72" s="1"/>
  <c r="Y11" i="72"/>
  <c r="AS11" i="72" s="1"/>
  <c r="Y73" i="72"/>
  <c r="AS73" i="72" s="1"/>
  <c r="Y58" i="72"/>
  <c r="AS58" i="72" s="1"/>
  <c r="U13" i="118"/>
  <c r="M19" i="116"/>
  <c r="V19" i="116" s="1"/>
  <c r="U14" i="116"/>
  <c r="U27" i="118"/>
  <c r="M39" i="119"/>
  <c r="V39" i="119" s="1"/>
  <c r="T27" i="67"/>
  <c r="R25" i="33"/>
  <c r="M13" i="116"/>
  <c r="V13" i="116" s="1"/>
  <c r="U39" i="118"/>
  <c r="M14" i="118"/>
  <c r="V14" i="118" s="1"/>
  <c r="U19" i="119"/>
  <c r="N24" i="76"/>
  <c r="W24" i="76" s="1"/>
  <c r="S25" i="33"/>
  <c r="R27" i="33"/>
  <c r="T27" i="33" s="1"/>
  <c r="U27" i="33" s="1"/>
  <c r="V27" i="33" s="1"/>
  <c r="C26" i="72" s="1"/>
  <c r="U25" i="116"/>
  <c r="M25" i="116"/>
  <c r="V25" i="116" s="1"/>
  <c r="T25" i="67"/>
  <c r="J25" i="67"/>
  <c r="K25" i="67" s="1"/>
  <c r="W25" i="67" s="1"/>
  <c r="U25" i="113"/>
  <c r="V25" i="113"/>
  <c r="U25" i="118"/>
  <c r="M25" i="118"/>
  <c r="V25" i="118" s="1"/>
  <c r="U13" i="114"/>
  <c r="V22" i="76"/>
  <c r="N22" i="76"/>
  <c r="W22" i="76" s="1"/>
  <c r="M25" i="115"/>
  <c r="V25" i="115" s="1"/>
  <c r="U25" i="115"/>
  <c r="U25" i="114"/>
  <c r="M25" i="114"/>
  <c r="V25" i="114" s="1"/>
  <c r="M25" i="120"/>
  <c r="V25" i="120" s="1"/>
  <c r="U25" i="120"/>
  <c r="M25" i="117"/>
  <c r="X25" i="117" s="1"/>
  <c r="O25" i="117"/>
  <c r="W25" i="117" s="1"/>
  <c r="N22" i="80"/>
  <c r="W22" i="80" s="1"/>
  <c r="V22" i="80"/>
  <c r="U25" i="119"/>
  <c r="M25" i="119"/>
  <c r="V25" i="119" s="1"/>
  <c r="M27" i="120"/>
  <c r="V27" i="120" s="1"/>
  <c r="T62" i="33"/>
  <c r="U62" i="33" s="1"/>
  <c r="V62" i="33" s="1"/>
  <c r="C61" i="72" s="1"/>
  <c r="S21" i="33"/>
  <c r="U14" i="113"/>
  <c r="M39" i="120"/>
  <c r="V39" i="120" s="1"/>
  <c r="C57" i="100"/>
  <c r="X57" i="100" s="1"/>
  <c r="U39" i="113"/>
  <c r="M39" i="117"/>
  <c r="X39" i="117" s="1"/>
  <c r="T39" i="33"/>
  <c r="U39" i="33" s="1"/>
  <c r="X39" i="33" s="1"/>
  <c r="U36" i="115"/>
  <c r="M36" i="115"/>
  <c r="V36" i="115" s="1"/>
  <c r="U36" i="120"/>
  <c r="M36" i="120"/>
  <c r="V36" i="120" s="1"/>
  <c r="M36" i="116"/>
  <c r="V36" i="116" s="1"/>
  <c r="U36" i="116"/>
  <c r="AD53" i="33"/>
  <c r="AE53" i="33" s="1"/>
  <c r="M27" i="114"/>
  <c r="V27" i="114" s="1"/>
  <c r="T69" i="33"/>
  <c r="U69" i="33" s="1"/>
  <c r="X69" i="33" s="1"/>
  <c r="T38" i="33"/>
  <c r="U38" i="33" s="1"/>
  <c r="X38" i="33" s="1"/>
  <c r="O36" i="117"/>
  <c r="W36" i="117" s="1"/>
  <c r="M36" i="117"/>
  <c r="X36" i="117" s="1"/>
  <c r="T36" i="33"/>
  <c r="U36" i="33" s="1"/>
  <c r="J36" i="67"/>
  <c r="K36" i="67" s="1"/>
  <c r="W36" i="67" s="1"/>
  <c r="T36" i="67"/>
  <c r="U36" i="119"/>
  <c r="M36" i="119"/>
  <c r="V36" i="119" s="1"/>
  <c r="V36" i="113"/>
  <c r="U36" i="113"/>
  <c r="M36" i="114"/>
  <c r="V36" i="114" s="1"/>
  <c r="U36" i="114"/>
  <c r="V24" i="80"/>
  <c r="U36" i="118"/>
  <c r="M36" i="118"/>
  <c r="V36" i="118" s="1"/>
  <c r="V53" i="33"/>
  <c r="C52" i="72" s="1"/>
  <c r="M19" i="114"/>
  <c r="V19" i="114" s="1"/>
  <c r="U14" i="115"/>
  <c r="T13" i="33"/>
  <c r="U13" i="33" s="1"/>
  <c r="X13" i="33" s="1"/>
  <c r="T56" i="33"/>
  <c r="U56" i="33" s="1"/>
  <c r="M56" i="115"/>
  <c r="V56" i="115" s="1"/>
  <c r="U56" i="115"/>
  <c r="T31" i="33"/>
  <c r="U31" i="33" s="1"/>
  <c r="AD31" i="33" s="1"/>
  <c r="AE31" i="33" s="1"/>
  <c r="M14" i="119"/>
  <c r="V14" i="119" s="1"/>
  <c r="T51" i="33"/>
  <c r="U51" i="33" s="1"/>
  <c r="X51" i="33" s="1"/>
  <c r="S10" i="33"/>
  <c r="N53" i="80"/>
  <c r="W53" i="80" s="1"/>
  <c r="V53" i="80"/>
  <c r="M56" i="116"/>
  <c r="V56" i="116" s="1"/>
  <c r="U56" i="116"/>
  <c r="U56" i="118"/>
  <c r="M56" i="118"/>
  <c r="V56" i="118" s="1"/>
  <c r="M56" i="114"/>
  <c r="V56" i="114" s="1"/>
  <c r="U56" i="114"/>
  <c r="S20" i="33"/>
  <c r="U56" i="119"/>
  <c r="M56" i="119"/>
  <c r="V56" i="119" s="1"/>
  <c r="O56" i="117"/>
  <c r="W56" i="117" s="1"/>
  <c r="M56" i="117"/>
  <c r="X56" i="117" s="1"/>
  <c r="V56" i="113"/>
  <c r="U56" i="113"/>
  <c r="J56" i="67"/>
  <c r="K56" i="67" s="1"/>
  <c r="W56" i="67" s="1"/>
  <c r="T56" i="67"/>
  <c r="U56" i="120"/>
  <c r="M56" i="120"/>
  <c r="V56" i="120" s="1"/>
  <c r="T14" i="33"/>
  <c r="U14" i="33" s="1"/>
  <c r="X14" i="33" s="1"/>
  <c r="U72" i="120"/>
  <c r="M72" i="120"/>
  <c r="V72" i="120" s="1"/>
  <c r="T72" i="67"/>
  <c r="J72" i="67"/>
  <c r="K72" i="67" s="1"/>
  <c r="W72" i="67" s="1"/>
  <c r="U28" i="119"/>
  <c r="M28" i="119"/>
  <c r="V28" i="119" s="1"/>
  <c r="V25" i="80"/>
  <c r="N25" i="80"/>
  <c r="W25" i="80" s="1"/>
  <c r="M28" i="118"/>
  <c r="V28" i="118" s="1"/>
  <c r="U28" i="118"/>
  <c r="J69" i="80"/>
  <c r="K69" i="80" s="1"/>
  <c r="M69" i="80" s="1"/>
  <c r="S72" i="33"/>
  <c r="T72" i="33" s="1"/>
  <c r="U72" i="33" s="1"/>
  <c r="T49" i="33"/>
  <c r="U49" i="33" s="1"/>
  <c r="V49" i="33" s="1"/>
  <c r="C48" i="72" s="1"/>
  <c r="M72" i="116"/>
  <c r="V72" i="116" s="1"/>
  <c r="U72" i="116"/>
  <c r="V28" i="113"/>
  <c r="U28" i="113"/>
  <c r="M28" i="115"/>
  <c r="V28" i="115" s="1"/>
  <c r="U28" i="115"/>
  <c r="M72" i="115"/>
  <c r="V72" i="115" s="1"/>
  <c r="U72" i="115"/>
  <c r="T28" i="33"/>
  <c r="U28" i="33" s="1"/>
  <c r="R41" i="33"/>
  <c r="N69" i="76"/>
  <c r="W69" i="76" s="1"/>
  <c r="V69" i="76"/>
  <c r="O72" i="117"/>
  <c r="W72" i="117" s="1"/>
  <c r="M72" i="117"/>
  <c r="X72" i="117" s="1"/>
  <c r="M28" i="120"/>
  <c r="V28" i="120" s="1"/>
  <c r="U28" i="120"/>
  <c r="J28" i="67"/>
  <c r="K28" i="67" s="1"/>
  <c r="W28" i="67" s="1"/>
  <c r="T28" i="67"/>
  <c r="M28" i="116"/>
  <c r="V28" i="116" s="1"/>
  <c r="U28" i="116"/>
  <c r="O28" i="117"/>
  <c r="W28" i="117" s="1"/>
  <c r="M28" i="117"/>
  <c r="X28" i="117" s="1"/>
  <c r="U28" i="114"/>
  <c r="M28" i="114"/>
  <c r="V28" i="114" s="1"/>
  <c r="M72" i="118"/>
  <c r="V72" i="118" s="1"/>
  <c r="U72" i="118"/>
  <c r="M72" i="114"/>
  <c r="V72" i="114" s="1"/>
  <c r="U72" i="114"/>
  <c r="U72" i="119"/>
  <c r="M72" i="119"/>
  <c r="V72" i="119" s="1"/>
  <c r="U72" i="113"/>
  <c r="V72" i="113"/>
  <c r="V7" i="76"/>
  <c r="N7" i="76"/>
  <c r="W7" i="76" s="1"/>
  <c r="U30" i="118"/>
  <c r="M30" i="118"/>
  <c r="V30" i="118" s="1"/>
  <c r="U20" i="113"/>
  <c r="V20" i="113"/>
  <c r="U30" i="113"/>
  <c r="V30" i="113"/>
  <c r="M10" i="119"/>
  <c r="V10" i="119" s="1"/>
  <c r="U10" i="119"/>
  <c r="T35" i="33"/>
  <c r="U35" i="33" s="1"/>
  <c r="X35" i="33" s="1"/>
  <c r="C34" i="100" s="1"/>
  <c r="X34" i="100" s="1"/>
  <c r="U52" i="118"/>
  <c r="M52" i="118"/>
  <c r="V52" i="118" s="1"/>
  <c r="U10" i="115"/>
  <c r="M10" i="115"/>
  <c r="V10" i="115" s="1"/>
  <c r="U30" i="114"/>
  <c r="M30" i="114"/>
  <c r="V30" i="114" s="1"/>
  <c r="V51" i="113"/>
  <c r="U51" i="113"/>
  <c r="M20" i="120"/>
  <c r="V20" i="120" s="1"/>
  <c r="U20" i="120"/>
  <c r="T30" i="67"/>
  <c r="J30" i="67"/>
  <c r="K30" i="67" s="1"/>
  <c r="W30" i="67" s="1"/>
  <c r="M52" i="114"/>
  <c r="V52" i="114" s="1"/>
  <c r="U52" i="114"/>
  <c r="U30" i="115"/>
  <c r="M30" i="115"/>
  <c r="V30" i="115" s="1"/>
  <c r="M30" i="117"/>
  <c r="X30" i="117" s="1"/>
  <c r="O30" i="117"/>
  <c r="W30" i="117" s="1"/>
  <c r="V32" i="76"/>
  <c r="T68" i="33"/>
  <c r="U68" i="33" s="1"/>
  <c r="V68" i="33" s="1"/>
  <c r="C67" i="72" s="1"/>
  <c r="S18" i="33"/>
  <c r="R73" i="33"/>
  <c r="R21" i="33"/>
  <c r="N17" i="80"/>
  <c r="W17" i="80" s="1"/>
  <c r="V17" i="80"/>
  <c r="M10" i="114"/>
  <c r="V10" i="114" s="1"/>
  <c r="U10" i="114"/>
  <c r="M10" i="116"/>
  <c r="V10" i="116" s="1"/>
  <c r="U10" i="116"/>
  <c r="U30" i="116"/>
  <c r="M30" i="116"/>
  <c r="V30" i="116" s="1"/>
  <c r="O44" i="117"/>
  <c r="W44" i="117" s="1"/>
  <c r="M44" i="117"/>
  <c r="X44" i="117" s="1"/>
  <c r="M51" i="120"/>
  <c r="V51" i="120" s="1"/>
  <c r="U51" i="120"/>
  <c r="M20" i="114"/>
  <c r="V20" i="114" s="1"/>
  <c r="U20" i="114"/>
  <c r="U44" i="116"/>
  <c r="M44" i="116"/>
  <c r="V44" i="116" s="1"/>
  <c r="U51" i="119"/>
  <c r="M51" i="119"/>
  <c r="V51" i="119" s="1"/>
  <c r="U44" i="119"/>
  <c r="M44" i="119"/>
  <c r="V44" i="119" s="1"/>
  <c r="T44" i="33"/>
  <c r="U44" i="33" s="1"/>
  <c r="U10" i="118"/>
  <c r="M10" i="118"/>
  <c r="V10" i="118" s="1"/>
  <c r="U10" i="120"/>
  <c r="M10" i="120"/>
  <c r="V10" i="120" s="1"/>
  <c r="Y35" i="46"/>
  <c r="O35" i="46"/>
  <c r="Z35" i="46" s="1"/>
  <c r="U51" i="115"/>
  <c r="M51" i="115"/>
  <c r="V51" i="115" s="1"/>
  <c r="T51" i="67"/>
  <c r="J51" i="67"/>
  <c r="K51" i="67" s="1"/>
  <c r="W51" i="67" s="1"/>
  <c r="M52" i="117"/>
  <c r="X52" i="117" s="1"/>
  <c r="O52" i="117"/>
  <c r="W52" i="117" s="1"/>
  <c r="U52" i="120"/>
  <c r="M52" i="120"/>
  <c r="V52" i="120" s="1"/>
  <c r="O51" i="117"/>
  <c r="W51" i="117" s="1"/>
  <c r="M51" i="117"/>
  <c r="X51" i="117" s="1"/>
  <c r="M20" i="117"/>
  <c r="X20" i="117" s="1"/>
  <c r="O20" i="117"/>
  <c r="W20" i="117" s="1"/>
  <c r="J20" i="67"/>
  <c r="K20" i="67" s="1"/>
  <c r="W20" i="67" s="1"/>
  <c r="T20" i="67"/>
  <c r="V17" i="76"/>
  <c r="N17" i="76"/>
  <c r="W17" i="76" s="1"/>
  <c r="U44" i="120"/>
  <c r="M44" i="120"/>
  <c r="V44" i="120" s="1"/>
  <c r="M44" i="115"/>
  <c r="V44" i="115" s="1"/>
  <c r="U44" i="115"/>
  <c r="U10" i="113"/>
  <c r="V10" i="113"/>
  <c r="T10" i="67"/>
  <c r="J10" i="67"/>
  <c r="K10" i="67" s="1"/>
  <c r="W10" i="67" s="1"/>
  <c r="U44" i="114"/>
  <c r="M44" i="114"/>
  <c r="V44" i="114" s="1"/>
  <c r="U51" i="116"/>
  <c r="M51" i="116"/>
  <c r="V51" i="116" s="1"/>
  <c r="M30" i="119"/>
  <c r="V30" i="119" s="1"/>
  <c r="U30" i="119"/>
  <c r="T52" i="67"/>
  <c r="J52" i="67"/>
  <c r="K52" i="67" s="1"/>
  <c r="W52" i="67" s="1"/>
  <c r="M51" i="114"/>
  <c r="V51" i="114" s="1"/>
  <c r="U51" i="114"/>
  <c r="M20" i="118"/>
  <c r="V20" i="118" s="1"/>
  <c r="U20" i="118"/>
  <c r="V7" i="80"/>
  <c r="N7" i="80"/>
  <c r="W7" i="80" s="1"/>
  <c r="G59" i="81"/>
  <c r="H59" i="81"/>
  <c r="U30" i="120"/>
  <c r="M30" i="120"/>
  <c r="V30" i="120" s="1"/>
  <c r="M10" i="117"/>
  <c r="X10" i="117" s="1"/>
  <c r="O10" i="117"/>
  <c r="W10" i="117" s="1"/>
  <c r="U51" i="118"/>
  <c r="M51" i="118"/>
  <c r="V51" i="118" s="1"/>
  <c r="M52" i="115"/>
  <c r="V52" i="115" s="1"/>
  <c r="U52" i="115"/>
  <c r="T57" i="33"/>
  <c r="U57" i="33" s="1"/>
  <c r="AD57" i="33" s="1"/>
  <c r="AE57" i="33" s="1"/>
  <c r="R24" i="33"/>
  <c r="T19" i="33"/>
  <c r="U19" i="33" s="1"/>
  <c r="X19" i="33" s="1"/>
  <c r="U20" i="115"/>
  <c r="M20" i="115"/>
  <c r="V20" i="115" s="1"/>
  <c r="R10" i="33"/>
  <c r="R20" i="33"/>
  <c r="U44" i="118"/>
  <c r="M44" i="118"/>
  <c r="V44" i="118" s="1"/>
  <c r="U20" i="119"/>
  <c r="M20" i="119"/>
  <c r="V20" i="119" s="1"/>
  <c r="T44" i="67"/>
  <c r="J44" i="67"/>
  <c r="K44" i="67" s="1"/>
  <c r="W44" i="67" s="1"/>
  <c r="U52" i="113"/>
  <c r="V52" i="113"/>
  <c r="U44" i="113"/>
  <c r="V44" i="113"/>
  <c r="U20" i="116"/>
  <c r="M20" i="116"/>
  <c r="V20" i="116" s="1"/>
  <c r="T52" i="33"/>
  <c r="U52" i="33" s="1"/>
  <c r="M52" i="119"/>
  <c r="V52" i="119" s="1"/>
  <c r="U52" i="119"/>
  <c r="T30" i="33"/>
  <c r="U30" i="33" s="1"/>
  <c r="U52" i="116"/>
  <c r="M52" i="116"/>
  <c r="V52" i="116" s="1"/>
  <c r="M50" i="118"/>
  <c r="V50" i="118" s="1"/>
  <c r="U50" i="118"/>
  <c r="U9" i="120"/>
  <c r="M9" i="120"/>
  <c r="V9" i="120" s="1"/>
  <c r="T32" i="67"/>
  <c r="J32" i="67"/>
  <c r="K32" i="67" s="1"/>
  <c r="W32" i="67" s="1"/>
  <c r="U57" i="119"/>
  <c r="M57" i="119"/>
  <c r="V57" i="119" s="1"/>
  <c r="U48" i="118"/>
  <c r="M48" i="118"/>
  <c r="V48" i="118" s="1"/>
  <c r="J16" i="67"/>
  <c r="K16" i="67" s="1"/>
  <c r="W16" i="67" s="1"/>
  <c r="T16" i="67"/>
  <c r="M11" i="118"/>
  <c r="V11" i="118" s="1"/>
  <c r="U11" i="118"/>
  <c r="V6" i="80"/>
  <c r="N6" i="80"/>
  <c r="W6" i="80" s="1"/>
  <c r="T68" i="67"/>
  <c r="J68" i="67"/>
  <c r="K68" i="67" s="1"/>
  <c r="W68" i="67" s="1"/>
  <c r="V14" i="80"/>
  <c r="N14" i="80"/>
  <c r="W14" i="80" s="1"/>
  <c r="M75" i="114"/>
  <c r="V75" i="114" s="1"/>
  <c r="U75" i="114"/>
  <c r="T9" i="67"/>
  <c r="J9" i="67"/>
  <c r="K9" i="67" s="1"/>
  <c r="W9" i="67" s="1"/>
  <c r="M41" i="120"/>
  <c r="V41" i="120" s="1"/>
  <c r="U41" i="120"/>
  <c r="M54" i="118"/>
  <c r="V54" i="118" s="1"/>
  <c r="U54" i="118"/>
  <c r="M26" i="120"/>
  <c r="V26" i="120" s="1"/>
  <c r="U26" i="120"/>
  <c r="M18" i="116"/>
  <c r="V18" i="116" s="1"/>
  <c r="U18" i="116"/>
  <c r="O67" i="117"/>
  <c r="W67" i="117" s="1"/>
  <c r="M67" i="117"/>
  <c r="X67" i="117" s="1"/>
  <c r="M24" i="119"/>
  <c r="V24" i="119" s="1"/>
  <c r="U24" i="119"/>
  <c r="N14" i="76"/>
  <c r="W14" i="76" s="1"/>
  <c r="V14" i="76"/>
  <c r="O75" i="117"/>
  <c r="W75" i="117" s="1"/>
  <c r="M75" i="117"/>
  <c r="X75" i="117" s="1"/>
  <c r="U48" i="114"/>
  <c r="M48" i="114"/>
  <c r="V48" i="114" s="1"/>
  <c r="M21" i="117"/>
  <c r="X21" i="117" s="1"/>
  <c r="O21" i="117"/>
  <c r="W21" i="117" s="1"/>
  <c r="U9" i="114"/>
  <c r="M9" i="114"/>
  <c r="V9" i="114" s="1"/>
  <c r="M18" i="119"/>
  <c r="V18" i="119" s="1"/>
  <c r="U18" i="119"/>
  <c r="M35" i="114"/>
  <c r="V35" i="114" s="1"/>
  <c r="U35" i="114"/>
  <c r="U8" i="113"/>
  <c r="V8" i="113"/>
  <c r="M11" i="115"/>
  <c r="V11" i="115" s="1"/>
  <c r="U11" i="115"/>
  <c r="V73" i="113"/>
  <c r="U73" i="113"/>
  <c r="N40" i="80"/>
  <c r="W40" i="80" s="1"/>
  <c r="V40" i="80"/>
  <c r="M66" i="116"/>
  <c r="V66" i="116" s="1"/>
  <c r="U66" i="116"/>
  <c r="N38" i="76"/>
  <c r="W38" i="76" s="1"/>
  <c r="V38" i="76"/>
  <c r="M60" i="114"/>
  <c r="V60" i="114" s="1"/>
  <c r="U60" i="114"/>
  <c r="U33" i="114"/>
  <c r="M33" i="114"/>
  <c r="V33" i="114" s="1"/>
  <c r="T73" i="67"/>
  <c r="J73" i="67"/>
  <c r="K73" i="67" s="1"/>
  <c r="W73" i="67" s="1"/>
  <c r="V75" i="113"/>
  <c r="U75" i="113"/>
  <c r="M50" i="119"/>
  <c r="V50" i="119" s="1"/>
  <c r="U50" i="119"/>
  <c r="U48" i="119"/>
  <c r="M48" i="119"/>
  <c r="V48" i="119" s="1"/>
  <c r="U60" i="116"/>
  <c r="M60" i="116"/>
  <c r="V60" i="116" s="1"/>
  <c r="M26" i="119"/>
  <c r="V26" i="119" s="1"/>
  <c r="U26" i="119"/>
  <c r="U33" i="113"/>
  <c r="V33" i="113"/>
  <c r="N18" i="80"/>
  <c r="W18" i="80" s="1"/>
  <c r="V18" i="80"/>
  <c r="U29" i="118"/>
  <c r="M29" i="118"/>
  <c r="V29" i="118" s="1"/>
  <c r="M73" i="118"/>
  <c r="V73" i="118" s="1"/>
  <c r="U73" i="118"/>
  <c r="U73" i="116"/>
  <c r="M73" i="116"/>
  <c r="V73" i="116" s="1"/>
  <c r="U43" i="115"/>
  <c r="M43" i="115"/>
  <c r="V43" i="115" s="1"/>
  <c r="M67" i="119"/>
  <c r="V67" i="119" s="1"/>
  <c r="U67" i="119"/>
  <c r="U8" i="114"/>
  <c r="M8" i="114"/>
  <c r="V8" i="114" s="1"/>
  <c r="J35" i="67"/>
  <c r="K35" i="67" s="1"/>
  <c r="W35" i="67" s="1"/>
  <c r="T35" i="67"/>
  <c r="U57" i="116"/>
  <c r="M57" i="116"/>
  <c r="V57" i="116" s="1"/>
  <c r="U65" i="115"/>
  <c r="M65" i="115"/>
  <c r="V65" i="115" s="1"/>
  <c r="M68" i="116"/>
  <c r="V68" i="116" s="1"/>
  <c r="U68" i="116"/>
  <c r="J67" i="67"/>
  <c r="K67" i="67" s="1"/>
  <c r="W67" i="67" s="1"/>
  <c r="T67" i="67"/>
  <c r="M11" i="119"/>
  <c r="V11" i="119" s="1"/>
  <c r="U11" i="119"/>
  <c r="M26" i="118"/>
  <c r="V26" i="118" s="1"/>
  <c r="U26" i="118"/>
  <c r="U21" i="119"/>
  <c r="M21" i="119"/>
  <c r="V21" i="119" s="1"/>
  <c r="U9" i="118"/>
  <c r="M9" i="118"/>
  <c r="V9" i="118" s="1"/>
  <c r="O73" i="117"/>
  <c r="W73" i="117" s="1"/>
  <c r="M73" i="117"/>
  <c r="X73" i="117" s="1"/>
  <c r="T50" i="67"/>
  <c r="J50" i="67"/>
  <c r="K50" i="67" s="1"/>
  <c r="W50" i="67" s="1"/>
  <c r="U37" i="116"/>
  <c r="M37" i="116"/>
  <c r="V37" i="116" s="1"/>
  <c r="N5" i="80"/>
  <c r="W5" i="80" s="1"/>
  <c r="V5" i="80"/>
  <c r="M17" i="118"/>
  <c r="V17" i="118" s="1"/>
  <c r="U17" i="118"/>
  <c r="U57" i="114"/>
  <c r="M57" i="114"/>
  <c r="V57" i="114" s="1"/>
  <c r="U65" i="120"/>
  <c r="M65" i="120"/>
  <c r="V65" i="120" s="1"/>
  <c r="T50" i="33"/>
  <c r="U50" i="33" s="1"/>
  <c r="M33" i="119"/>
  <c r="V33" i="119" s="1"/>
  <c r="U33" i="119"/>
  <c r="V70" i="76"/>
  <c r="N70" i="76"/>
  <c r="W70" i="76" s="1"/>
  <c r="U18" i="113"/>
  <c r="V18" i="113"/>
  <c r="U16" i="118"/>
  <c r="M16" i="118"/>
  <c r="V16" i="118" s="1"/>
  <c r="M47" i="115"/>
  <c r="V47" i="115" s="1"/>
  <c r="U47" i="115"/>
  <c r="M17" i="117"/>
  <c r="X17" i="117" s="1"/>
  <c r="O17" i="117"/>
  <c r="W17" i="117" s="1"/>
  <c r="M68" i="120"/>
  <c r="V68" i="120" s="1"/>
  <c r="U68" i="120"/>
  <c r="U18" i="115"/>
  <c r="M18" i="115"/>
  <c r="V18" i="115" s="1"/>
  <c r="O57" i="117"/>
  <c r="W57" i="117" s="1"/>
  <c r="M57" i="117"/>
  <c r="X57" i="117" s="1"/>
  <c r="T66" i="33"/>
  <c r="U66" i="33" s="1"/>
  <c r="T65" i="33"/>
  <c r="U65" i="33" s="1"/>
  <c r="M48" i="115"/>
  <c r="V48" i="115" s="1"/>
  <c r="U48" i="115"/>
  <c r="U54" i="120"/>
  <c r="M54" i="120"/>
  <c r="V54" i="120" s="1"/>
  <c r="M21" i="115"/>
  <c r="V21" i="115" s="1"/>
  <c r="U21" i="115"/>
  <c r="S29" i="33"/>
  <c r="T29" i="33" s="1"/>
  <c r="U29" i="33" s="1"/>
  <c r="M9" i="116"/>
  <c r="V9" i="116" s="1"/>
  <c r="U9" i="116"/>
  <c r="R18" i="33"/>
  <c r="M43" i="117"/>
  <c r="X43" i="117" s="1"/>
  <c r="O43" i="117"/>
  <c r="W43" i="117" s="1"/>
  <c r="V21" i="76"/>
  <c r="N21" i="76"/>
  <c r="W21" i="76" s="1"/>
  <c r="M57" i="115"/>
  <c r="V57" i="115" s="1"/>
  <c r="U57" i="115"/>
  <c r="M66" i="119"/>
  <c r="V66" i="119" s="1"/>
  <c r="U66" i="119"/>
  <c r="M65" i="116"/>
  <c r="V65" i="116" s="1"/>
  <c r="U65" i="116"/>
  <c r="T75" i="33"/>
  <c r="U75" i="33" s="1"/>
  <c r="M75" i="115"/>
  <c r="V75" i="115" s="1"/>
  <c r="U75" i="115"/>
  <c r="U41" i="116"/>
  <c r="M41" i="116"/>
  <c r="V41" i="116" s="1"/>
  <c r="N8" i="76"/>
  <c r="W8" i="76" s="1"/>
  <c r="V8" i="76"/>
  <c r="V29" i="80"/>
  <c r="N29" i="80"/>
  <c r="W29" i="80" s="1"/>
  <c r="U54" i="114"/>
  <c r="M54" i="114"/>
  <c r="V54" i="114" s="1"/>
  <c r="T37" i="67"/>
  <c r="J37" i="67"/>
  <c r="K37" i="67" s="1"/>
  <c r="W37" i="67" s="1"/>
  <c r="M29" i="114"/>
  <c r="V29" i="114" s="1"/>
  <c r="U29" i="114"/>
  <c r="V9" i="113"/>
  <c r="U9" i="113"/>
  <c r="N15" i="80"/>
  <c r="W15" i="80" s="1"/>
  <c r="V15" i="80"/>
  <c r="N13" i="76"/>
  <c r="W13" i="76" s="1"/>
  <c r="V13" i="76"/>
  <c r="U47" i="116"/>
  <c r="M47" i="116"/>
  <c r="V47" i="116" s="1"/>
  <c r="J57" i="67"/>
  <c r="K57" i="67" s="1"/>
  <c r="W57" i="67" s="1"/>
  <c r="T57" i="67"/>
  <c r="S24" i="33"/>
  <c r="J47" i="67"/>
  <c r="K47" i="67" s="1"/>
  <c r="W47" i="67" s="1"/>
  <c r="T47" i="67"/>
  <c r="M48" i="116"/>
  <c r="V48" i="116" s="1"/>
  <c r="U48" i="116"/>
  <c r="M68" i="118"/>
  <c r="V68" i="118" s="1"/>
  <c r="U68" i="118"/>
  <c r="T26" i="67"/>
  <c r="J26" i="67"/>
  <c r="K26" i="67" s="1"/>
  <c r="W26" i="67" s="1"/>
  <c r="T48" i="67"/>
  <c r="J48" i="67"/>
  <c r="K48" i="67" s="1"/>
  <c r="W48" i="67" s="1"/>
  <c r="U41" i="113"/>
  <c r="V41" i="113"/>
  <c r="U32" i="120"/>
  <c r="M32" i="120"/>
  <c r="V32" i="120" s="1"/>
  <c r="J43" i="67"/>
  <c r="K43" i="67" s="1"/>
  <c r="W43" i="67" s="1"/>
  <c r="T43" i="67"/>
  <c r="M26" i="116"/>
  <c r="V26" i="116" s="1"/>
  <c r="U26" i="116"/>
  <c r="N30" i="76"/>
  <c r="W30" i="76" s="1"/>
  <c r="V30" i="76"/>
  <c r="M73" i="115"/>
  <c r="V73" i="115" s="1"/>
  <c r="U73" i="115"/>
  <c r="M73" i="114"/>
  <c r="V73" i="114" s="1"/>
  <c r="U73" i="114"/>
  <c r="M16" i="117"/>
  <c r="X16" i="117" s="1"/>
  <c r="O16" i="117"/>
  <c r="W16" i="117" s="1"/>
  <c r="V16" i="113"/>
  <c r="U16" i="113"/>
  <c r="U43" i="116"/>
  <c r="M43" i="116"/>
  <c r="V43" i="116" s="1"/>
  <c r="U47" i="118"/>
  <c r="M47" i="118"/>
  <c r="V47" i="118" s="1"/>
  <c r="S47" i="33"/>
  <c r="T47" i="33" s="1"/>
  <c r="U47" i="33" s="1"/>
  <c r="M37" i="119"/>
  <c r="V37" i="119" s="1"/>
  <c r="U37" i="119"/>
  <c r="U67" i="118"/>
  <c r="M67" i="118"/>
  <c r="V67" i="118" s="1"/>
  <c r="M67" i="115"/>
  <c r="V67" i="115" s="1"/>
  <c r="U67" i="115"/>
  <c r="X40" i="33"/>
  <c r="V40" i="33"/>
  <c r="C39" i="72" s="1"/>
  <c r="AD40" i="33"/>
  <c r="AE40" i="33" s="1"/>
  <c r="U24" i="115"/>
  <c r="M24" i="115"/>
  <c r="V24" i="115" s="1"/>
  <c r="T18" i="67"/>
  <c r="J18" i="67"/>
  <c r="K18" i="67" s="1"/>
  <c r="W18" i="67" s="1"/>
  <c r="M57" i="120"/>
  <c r="V57" i="120" s="1"/>
  <c r="U57" i="120"/>
  <c r="U66" i="114"/>
  <c r="M66" i="114"/>
  <c r="V66" i="114" s="1"/>
  <c r="U50" i="113"/>
  <c r="V50" i="113"/>
  <c r="U11" i="120"/>
  <c r="M11" i="120"/>
  <c r="V11" i="120" s="1"/>
  <c r="V8" i="80"/>
  <c r="N8" i="80"/>
  <c r="W8" i="80" s="1"/>
  <c r="M54" i="115"/>
  <c r="V54" i="115" s="1"/>
  <c r="U54" i="115"/>
  <c r="U60" i="120"/>
  <c r="M60" i="120"/>
  <c r="V60" i="120" s="1"/>
  <c r="T26" i="33"/>
  <c r="U26" i="33" s="1"/>
  <c r="U29" i="119"/>
  <c r="M29" i="119"/>
  <c r="V29" i="119" s="1"/>
  <c r="R9" i="33"/>
  <c r="U73" i="119"/>
  <c r="M73" i="119"/>
  <c r="V73" i="119" s="1"/>
  <c r="M16" i="114"/>
  <c r="V16" i="114" s="1"/>
  <c r="U16" i="114"/>
  <c r="M35" i="117"/>
  <c r="X35" i="117" s="1"/>
  <c r="O35" i="117"/>
  <c r="W35" i="117" s="1"/>
  <c r="U35" i="118"/>
  <c r="M35" i="118"/>
  <c r="V35" i="118" s="1"/>
  <c r="U67" i="114"/>
  <c r="M67" i="114"/>
  <c r="V67" i="114" s="1"/>
  <c r="J21" i="67"/>
  <c r="K21" i="67" s="1"/>
  <c r="W21" i="67" s="1"/>
  <c r="T21" i="67"/>
  <c r="M75" i="119"/>
  <c r="V75" i="119" s="1"/>
  <c r="U75" i="119"/>
  <c r="O32" i="117"/>
  <c r="W32" i="117" s="1"/>
  <c r="M32" i="117"/>
  <c r="X32" i="117" s="1"/>
  <c r="O54" i="117"/>
  <c r="W54" i="117" s="1"/>
  <c r="M54" i="117"/>
  <c r="X54" i="117" s="1"/>
  <c r="V26" i="113"/>
  <c r="U26" i="113"/>
  <c r="V18" i="76"/>
  <c r="N18" i="76"/>
  <c r="W18" i="76" s="1"/>
  <c r="M29" i="120"/>
  <c r="V29" i="120" s="1"/>
  <c r="U29" i="120"/>
  <c r="U9" i="119"/>
  <c r="M9" i="119"/>
  <c r="V9" i="119" s="1"/>
  <c r="M16" i="116"/>
  <c r="V16" i="116" s="1"/>
  <c r="U16" i="116"/>
  <c r="J24" i="67"/>
  <c r="K24" i="67" s="1"/>
  <c r="W24" i="67" s="1"/>
  <c r="T24" i="67"/>
  <c r="J54" i="67"/>
  <c r="K54" i="67" s="1"/>
  <c r="W54" i="67" s="1"/>
  <c r="T54" i="67"/>
  <c r="M37" i="120"/>
  <c r="V37" i="120" s="1"/>
  <c r="U37" i="120"/>
  <c r="M17" i="120"/>
  <c r="V17" i="120" s="1"/>
  <c r="U17" i="120"/>
  <c r="M66" i="118"/>
  <c r="V66" i="118" s="1"/>
  <c r="U66" i="118"/>
  <c r="U54" i="119"/>
  <c r="M54" i="119"/>
  <c r="V54" i="119" s="1"/>
  <c r="U26" i="115"/>
  <c r="M26" i="115"/>
  <c r="V26" i="115" s="1"/>
  <c r="N40" i="76"/>
  <c r="W40" i="76" s="1"/>
  <c r="V40" i="76"/>
  <c r="V35" i="113"/>
  <c r="U35" i="113"/>
  <c r="M8" i="116"/>
  <c r="V8" i="116" s="1"/>
  <c r="U8" i="116"/>
  <c r="U57" i="118"/>
  <c r="M57" i="118"/>
  <c r="V57" i="118" s="1"/>
  <c r="M65" i="118"/>
  <c r="V65" i="118" s="1"/>
  <c r="U65" i="118"/>
  <c r="M75" i="118"/>
  <c r="V75" i="118" s="1"/>
  <c r="U75" i="118"/>
  <c r="X55" i="33"/>
  <c r="AD55" i="33"/>
  <c r="AE55" i="33" s="1"/>
  <c r="V55" i="33"/>
  <c r="C54" i="72" s="1"/>
  <c r="M68" i="117"/>
  <c r="X68" i="117" s="1"/>
  <c r="O68" i="117"/>
  <c r="W68" i="117" s="1"/>
  <c r="V38" i="80"/>
  <c r="N38" i="80"/>
  <c r="W38" i="80" s="1"/>
  <c r="V32" i="113"/>
  <c r="U32" i="113"/>
  <c r="U54" i="113"/>
  <c r="V54" i="113"/>
  <c r="T60" i="33"/>
  <c r="U60" i="33" s="1"/>
  <c r="T33" i="33"/>
  <c r="U33" i="33" s="1"/>
  <c r="U21" i="118"/>
  <c r="M21" i="118"/>
  <c r="V21" i="118" s="1"/>
  <c r="V46" i="76"/>
  <c r="N46" i="76"/>
  <c r="W46" i="76" s="1"/>
  <c r="V70" i="80"/>
  <c r="N70" i="80"/>
  <c r="W70" i="80" s="1"/>
  <c r="V67" i="113"/>
  <c r="U67" i="113"/>
  <c r="M66" i="117"/>
  <c r="X66" i="117" s="1"/>
  <c r="O66" i="117"/>
  <c r="W66" i="117" s="1"/>
  <c r="O50" i="117"/>
  <c r="W50" i="117" s="1"/>
  <c r="M50" i="117"/>
  <c r="X50" i="117" s="1"/>
  <c r="T48" i="33"/>
  <c r="U48" i="33" s="1"/>
  <c r="T8" i="67"/>
  <c r="J8" i="67"/>
  <c r="K8" i="67" s="1"/>
  <c r="W8" i="67" s="1"/>
  <c r="X70" i="33"/>
  <c r="V70" i="33"/>
  <c r="C69" i="72" s="1"/>
  <c r="AD70" i="33"/>
  <c r="AE70" i="33" s="1"/>
  <c r="M18" i="120"/>
  <c r="V18" i="120" s="1"/>
  <c r="U18" i="120"/>
  <c r="U16" i="115"/>
  <c r="M16" i="115"/>
  <c r="V16" i="115" s="1"/>
  <c r="V47" i="113"/>
  <c r="U47" i="113"/>
  <c r="M68" i="115"/>
  <c r="V68" i="115" s="1"/>
  <c r="U68" i="115"/>
  <c r="T11" i="33"/>
  <c r="U11" i="33" s="1"/>
  <c r="X64" i="33"/>
  <c r="V64" i="33"/>
  <c r="C63" i="72" s="1"/>
  <c r="AD64" i="33"/>
  <c r="AE64" i="33" s="1"/>
  <c r="T17" i="33"/>
  <c r="U17" i="33" s="1"/>
  <c r="M41" i="119"/>
  <c r="V41" i="119" s="1"/>
  <c r="U41" i="119"/>
  <c r="M32" i="116"/>
  <c r="V32" i="116" s="1"/>
  <c r="U32" i="116"/>
  <c r="O26" i="117"/>
  <c r="W26" i="117" s="1"/>
  <c r="M26" i="117"/>
  <c r="X26" i="117" s="1"/>
  <c r="M18" i="114"/>
  <c r="V18" i="114" s="1"/>
  <c r="U18" i="114"/>
  <c r="V37" i="113"/>
  <c r="U37" i="113"/>
  <c r="U57" i="113"/>
  <c r="V57" i="113"/>
  <c r="U66" i="113"/>
  <c r="V66" i="113"/>
  <c r="M65" i="119"/>
  <c r="V65" i="119" s="1"/>
  <c r="U65" i="119"/>
  <c r="U68" i="113"/>
  <c r="V68" i="113"/>
  <c r="J17" i="67"/>
  <c r="K17" i="67" s="1"/>
  <c r="W17" i="67" s="1"/>
  <c r="T17" i="67"/>
  <c r="U35" i="120"/>
  <c r="M35" i="120"/>
  <c r="V35" i="120" s="1"/>
  <c r="V34" i="80"/>
  <c r="N34" i="80"/>
  <c r="W34" i="80" s="1"/>
  <c r="U17" i="116"/>
  <c r="M17" i="116"/>
  <c r="V17" i="116" s="1"/>
  <c r="M65" i="114"/>
  <c r="V65" i="114" s="1"/>
  <c r="U65" i="114"/>
  <c r="M50" i="115"/>
  <c r="V50" i="115" s="1"/>
  <c r="U50" i="115"/>
  <c r="J33" i="67"/>
  <c r="K33" i="67" s="1"/>
  <c r="W33" i="67" s="1"/>
  <c r="T33" i="67"/>
  <c r="M11" i="116"/>
  <c r="V11" i="116" s="1"/>
  <c r="U11" i="116"/>
  <c r="T32" i="33"/>
  <c r="U32" i="33" s="1"/>
  <c r="O33" i="117"/>
  <c r="W33" i="117" s="1"/>
  <c r="M33" i="117"/>
  <c r="X33" i="117" s="1"/>
  <c r="J66" i="67"/>
  <c r="K66" i="67" s="1"/>
  <c r="W66" i="67" s="1"/>
  <c r="T66" i="67"/>
  <c r="U16" i="120"/>
  <c r="M16" i="120"/>
  <c r="V16" i="120" s="1"/>
  <c r="U17" i="119"/>
  <c r="M17" i="119"/>
  <c r="V17" i="119" s="1"/>
  <c r="J75" i="67"/>
  <c r="K75" i="67" s="1"/>
  <c r="W75" i="67" s="1"/>
  <c r="T75" i="67"/>
  <c r="V67" i="76"/>
  <c r="N67" i="76"/>
  <c r="W67" i="76" s="1"/>
  <c r="M21" i="120"/>
  <c r="V21" i="120" s="1"/>
  <c r="U21" i="120"/>
  <c r="M29" i="116"/>
  <c r="V29" i="116" s="1"/>
  <c r="U29" i="116"/>
  <c r="T41" i="67"/>
  <c r="J41" i="67"/>
  <c r="K41" i="67" s="1"/>
  <c r="W41" i="67" s="1"/>
  <c r="U16" i="119"/>
  <c r="M16" i="119"/>
  <c r="V16" i="119" s="1"/>
  <c r="U43" i="113"/>
  <c r="V43" i="113"/>
  <c r="U17" i="115"/>
  <c r="M17" i="115"/>
  <c r="V17" i="115" s="1"/>
  <c r="U75" i="116"/>
  <c r="M75" i="116"/>
  <c r="V75" i="116" s="1"/>
  <c r="U68" i="119"/>
  <c r="M68" i="119"/>
  <c r="V68" i="119" s="1"/>
  <c r="U41" i="115"/>
  <c r="M41" i="115"/>
  <c r="V41" i="115" s="1"/>
  <c r="U60" i="119"/>
  <c r="M60" i="119"/>
  <c r="V60" i="119" s="1"/>
  <c r="O29" i="117"/>
  <c r="W29" i="117" s="1"/>
  <c r="M29" i="117"/>
  <c r="X29" i="117" s="1"/>
  <c r="U9" i="115"/>
  <c r="M9" i="115"/>
  <c r="V9" i="115" s="1"/>
  <c r="M43" i="120"/>
  <c r="V43" i="120" s="1"/>
  <c r="U43" i="120"/>
  <c r="M37" i="117"/>
  <c r="X37" i="117" s="1"/>
  <c r="O37" i="117"/>
  <c r="W37" i="117" s="1"/>
  <c r="V24" i="113"/>
  <c r="U24" i="113"/>
  <c r="U8" i="118"/>
  <c r="M8" i="118"/>
  <c r="V8" i="118" s="1"/>
  <c r="M41" i="114"/>
  <c r="V41" i="114" s="1"/>
  <c r="U41" i="114"/>
  <c r="I11" i="137"/>
  <c r="H18" i="137"/>
  <c r="V65" i="113"/>
  <c r="U65" i="113"/>
  <c r="U50" i="116"/>
  <c r="M50" i="116"/>
  <c r="V50" i="116" s="1"/>
  <c r="O48" i="117"/>
  <c r="W48" i="117" s="1"/>
  <c r="M48" i="117"/>
  <c r="X48" i="117" s="1"/>
  <c r="O41" i="117"/>
  <c r="W41" i="117" s="1"/>
  <c r="M41" i="117"/>
  <c r="X41" i="117" s="1"/>
  <c r="U33" i="115"/>
  <c r="M33" i="115"/>
  <c r="V33" i="115" s="1"/>
  <c r="M33" i="116"/>
  <c r="V33" i="116" s="1"/>
  <c r="U33" i="116"/>
  <c r="V26" i="80"/>
  <c r="N26" i="80"/>
  <c r="W26" i="80" s="1"/>
  <c r="N15" i="76"/>
  <c r="W15" i="76" s="1"/>
  <c r="V15" i="76"/>
  <c r="R43" i="33"/>
  <c r="M37" i="114"/>
  <c r="V37" i="114" s="1"/>
  <c r="U37" i="114"/>
  <c r="N11" i="80"/>
  <c r="W11" i="80" s="1"/>
  <c r="V11" i="80"/>
  <c r="M24" i="117"/>
  <c r="X24" i="117" s="1"/>
  <c r="O24" i="117"/>
  <c r="W24" i="117" s="1"/>
  <c r="M66" i="120"/>
  <c r="V66" i="120" s="1"/>
  <c r="U66" i="120"/>
  <c r="U48" i="120"/>
  <c r="M48" i="120"/>
  <c r="V48" i="120" s="1"/>
  <c r="U68" i="114"/>
  <c r="M68" i="114"/>
  <c r="V68" i="114" s="1"/>
  <c r="S41" i="33"/>
  <c r="O11" i="117"/>
  <c r="W11" i="117" s="1"/>
  <c r="M11" i="117"/>
  <c r="X11" i="117" s="1"/>
  <c r="M32" i="118"/>
  <c r="V32" i="118" s="1"/>
  <c r="U32" i="118"/>
  <c r="T54" i="33"/>
  <c r="U54" i="33" s="1"/>
  <c r="V60" i="113"/>
  <c r="U60" i="113"/>
  <c r="U26" i="114"/>
  <c r="M26" i="114"/>
  <c r="V26" i="114" s="1"/>
  <c r="M33" i="118"/>
  <c r="V33" i="118" s="1"/>
  <c r="U33" i="118"/>
  <c r="U33" i="120"/>
  <c r="M33" i="120"/>
  <c r="V33" i="120" s="1"/>
  <c r="V21" i="113"/>
  <c r="U21" i="113"/>
  <c r="U29" i="115"/>
  <c r="M29" i="115"/>
  <c r="V29" i="115" s="1"/>
  <c r="S9" i="33"/>
  <c r="M73" i="120"/>
  <c r="V73" i="120" s="1"/>
  <c r="U73" i="120"/>
  <c r="S73" i="33"/>
  <c r="O18" i="117"/>
  <c r="W18" i="117" s="1"/>
  <c r="M18" i="117"/>
  <c r="X18" i="117" s="1"/>
  <c r="T16" i="33"/>
  <c r="U16" i="33" s="1"/>
  <c r="M43" i="114"/>
  <c r="V43" i="114" s="1"/>
  <c r="U43" i="114"/>
  <c r="U47" i="119"/>
  <c r="M47" i="119"/>
  <c r="V47" i="119" s="1"/>
  <c r="M47" i="120"/>
  <c r="V47" i="120" s="1"/>
  <c r="U47" i="120"/>
  <c r="U35" i="115"/>
  <c r="M35" i="115"/>
  <c r="V35" i="115" s="1"/>
  <c r="M35" i="119"/>
  <c r="V35" i="119" s="1"/>
  <c r="U35" i="119"/>
  <c r="M37" i="118"/>
  <c r="V37" i="118" s="1"/>
  <c r="U37" i="118"/>
  <c r="U37" i="115"/>
  <c r="M37" i="115"/>
  <c r="V37" i="115" s="1"/>
  <c r="T67" i="33"/>
  <c r="U67" i="33" s="1"/>
  <c r="N21" i="80"/>
  <c r="W21" i="80" s="1"/>
  <c r="V21" i="80"/>
  <c r="O8" i="117"/>
  <c r="W8" i="117" s="1"/>
  <c r="M8" i="117"/>
  <c r="X8" i="117" s="1"/>
  <c r="J11" i="67"/>
  <c r="K11" i="67" s="1"/>
  <c r="W11" i="67" s="1"/>
  <c r="T11" i="67"/>
  <c r="O65" i="117"/>
  <c r="W65" i="117" s="1"/>
  <c r="M65" i="117"/>
  <c r="X65" i="117" s="1"/>
  <c r="V48" i="113"/>
  <c r="U48" i="113"/>
  <c r="M41" i="118"/>
  <c r="V41" i="118" s="1"/>
  <c r="U41" i="118"/>
  <c r="U11" i="114"/>
  <c r="M11" i="114"/>
  <c r="V11" i="114" s="1"/>
  <c r="M32" i="114"/>
  <c r="V32" i="114" s="1"/>
  <c r="U32" i="114"/>
  <c r="M32" i="119"/>
  <c r="V32" i="119" s="1"/>
  <c r="U32" i="119"/>
  <c r="J65" i="67"/>
  <c r="K65" i="67" s="1"/>
  <c r="W65" i="67" s="1"/>
  <c r="T65" i="67"/>
  <c r="M60" i="117"/>
  <c r="X60" i="117" s="1"/>
  <c r="O60" i="117"/>
  <c r="W60" i="117" s="1"/>
  <c r="V23" i="80"/>
  <c r="N23" i="80"/>
  <c r="W23" i="80" s="1"/>
  <c r="U43" i="118"/>
  <c r="M43" i="118"/>
  <c r="V43" i="118" s="1"/>
  <c r="V44" i="80"/>
  <c r="N44" i="80"/>
  <c r="W44" i="80" s="1"/>
  <c r="N46" i="80"/>
  <c r="W46" i="80" s="1"/>
  <c r="V46" i="80"/>
  <c r="U35" i="116"/>
  <c r="M35" i="116"/>
  <c r="V35" i="116" s="1"/>
  <c r="M24" i="116"/>
  <c r="V24" i="116" s="1"/>
  <c r="U24" i="116"/>
  <c r="U8" i="115"/>
  <c r="M8" i="115"/>
  <c r="V8" i="115" s="1"/>
  <c r="M66" i="115"/>
  <c r="V66" i="115" s="1"/>
  <c r="U66" i="115"/>
  <c r="J29" i="67"/>
  <c r="K29" i="67" s="1"/>
  <c r="W29" i="67" s="1"/>
  <c r="T29" i="67"/>
  <c r="T60" i="67"/>
  <c r="J60" i="67"/>
  <c r="K60" i="67" s="1"/>
  <c r="W60" i="67" s="1"/>
  <c r="M75" i="120"/>
  <c r="V75" i="120" s="1"/>
  <c r="U75" i="120"/>
  <c r="U50" i="114"/>
  <c r="M50" i="114"/>
  <c r="V50" i="114" s="1"/>
  <c r="U50" i="120"/>
  <c r="M50" i="120"/>
  <c r="V50" i="120" s="1"/>
  <c r="V11" i="113"/>
  <c r="U11" i="113"/>
  <c r="M32" i="115"/>
  <c r="V32" i="115" s="1"/>
  <c r="U32" i="115"/>
  <c r="M60" i="115"/>
  <c r="V60" i="115" s="1"/>
  <c r="U60" i="115"/>
  <c r="N23" i="76"/>
  <c r="W23" i="76" s="1"/>
  <c r="V23" i="76"/>
  <c r="N30" i="80"/>
  <c r="W30" i="80" s="1"/>
  <c r="V30" i="80"/>
  <c r="U21" i="116"/>
  <c r="M21" i="116"/>
  <c r="V21" i="116" s="1"/>
  <c r="N6" i="76"/>
  <c r="W6" i="76" s="1"/>
  <c r="V6" i="76"/>
  <c r="U18" i="118"/>
  <c r="M18" i="118"/>
  <c r="V18" i="118" s="1"/>
  <c r="M43" i="119"/>
  <c r="V43" i="119" s="1"/>
  <c r="U43" i="119"/>
  <c r="M47" i="114"/>
  <c r="V47" i="114" s="1"/>
  <c r="U47" i="114"/>
  <c r="M47" i="117"/>
  <c r="X47" i="117" s="1"/>
  <c r="O47" i="117"/>
  <c r="W47" i="117" s="1"/>
  <c r="M67" i="116"/>
  <c r="V67" i="116" s="1"/>
  <c r="U67" i="116"/>
  <c r="U24" i="120"/>
  <c r="M24" i="120"/>
  <c r="V24" i="120" s="1"/>
  <c r="U24" i="114"/>
  <c r="M24" i="114"/>
  <c r="V24" i="114" s="1"/>
  <c r="T8" i="33"/>
  <c r="U8" i="33" s="1"/>
  <c r="U8" i="119"/>
  <c r="M8" i="119"/>
  <c r="V8" i="119" s="1"/>
  <c r="V17" i="113"/>
  <c r="U17" i="113"/>
  <c r="U17" i="114"/>
  <c r="M17" i="114"/>
  <c r="V17" i="114" s="1"/>
  <c r="M54" i="116"/>
  <c r="V54" i="116" s="1"/>
  <c r="U54" i="116"/>
  <c r="U60" i="118"/>
  <c r="M60" i="118"/>
  <c r="V60" i="118" s="1"/>
  <c r="U21" i="114"/>
  <c r="M21" i="114"/>
  <c r="V21" i="114" s="1"/>
  <c r="U29" i="113"/>
  <c r="V29" i="113"/>
  <c r="O9" i="117"/>
  <c r="W9" i="117" s="1"/>
  <c r="M9" i="117"/>
  <c r="X9" i="117" s="1"/>
  <c r="S43" i="33"/>
  <c r="T37" i="33"/>
  <c r="U37" i="33" s="1"/>
  <c r="M67" i="120"/>
  <c r="V67" i="120" s="1"/>
  <c r="U67" i="120"/>
  <c r="M24" i="118"/>
  <c r="V24" i="118" s="1"/>
  <c r="U24" i="118"/>
  <c r="M8" i="120"/>
  <c r="V8" i="120" s="1"/>
  <c r="U8" i="120"/>
  <c r="E56" i="81"/>
  <c r="H19" i="46"/>
  <c r="I23" i="33"/>
  <c r="T23" i="33" s="1"/>
  <c r="U23" i="33" s="1"/>
  <c r="K18" i="46"/>
  <c r="L17" i="46"/>
  <c r="Y10" i="46"/>
  <c r="AU64" i="1"/>
  <c r="AU57" i="1"/>
  <c r="AU25" i="1"/>
  <c r="AU19" i="1"/>
  <c r="AU29" i="1"/>
  <c r="AU58" i="1"/>
  <c r="AU61" i="1"/>
  <c r="AU63" i="1"/>
  <c r="AU74" i="1"/>
  <c r="AU37" i="1"/>
  <c r="AU35" i="1"/>
  <c r="AU46" i="1"/>
  <c r="AU65" i="1"/>
  <c r="AU60" i="1"/>
  <c r="AU36" i="1"/>
  <c r="AU17" i="1"/>
  <c r="AU42" i="1"/>
  <c r="AU31" i="1"/>
  <c r="AU34" i="1"/>
  <c r="AU24" i="1"/>
  <c r="AU53" i="1"/>
  <c r="AU10" i="1"/>
  <c r="AU32" i="1"/>
  <c r="AU59" i="1"/>
  <c r="AU15" i="1"/>
  <c r="AU8" i="1"/>
  <c r="AU56" i="1"/>
  <c r="AU52" i="1"/>
  <c r="AU14" i="1"/>
  <c r="AU28" i="1"/>
  <c r="AU23" i="1"/>
  <c r="AU27" i="1"/>
  <c r="AU55" i="1"/>
  <c r="AU40" i="1"/>
  <c r="AU16" i="1"/>
  <c r="AU76" i="1"/>
  <c r="AU75" i="1"/>
  <c r="AU44" i="1"/>
  <c r="AU54" i="1"/>
  <c r="AU69" i="1"/>
  <c r="AU41" i="1"/>
  <c r="AU26" i="1"/>
  <c r="AU72" i="1"/>
  <c r="AU21" i="1"/>
  <c r="AU48" i="1"/>
  <c r="AU33" i="1"/>
  <c r="AU49" i="1"/>
  <c r="AU13" i="1"/>
  <c r="AU11" i="1"/>
  <c r="AU62" i="1"/>
  <c r="AU39" i="1"/>
  <c r="AU30" i="1"/>
  <c r="AU66" i="1"/>
  <c r="AU51" i="1"/>
  <c r="AU71" i="1"/>
  <c r="AU70" i="1"/>
  <c r="AU73" i="1"/>
  <c r="AU22" i="1"/>
  <c r="AU18" i="1"/>
  <c r="AU45" i="1"/>
  <c r="AU9" i="1"/>
  <c r="AU38" i="1"/>
  <c r="AU68" i="1"/>
  <c r="AU50" i="1"/>
  <c r="AU67" i="1"/>
  <c r="AU20" i="1"/>
  <c r="AU47" i="1"/>
  <c r="AU43" i="1"/>
  <c r="AU12" i="1"/>
  <c r="AG16" i="1"/>
  <c r="AE77" i="1"/>
  <c r="AF16" i="1"/>
  <c r="O15" i="67"/>
  <c r="P15" i="67" s="1"/>
  <c r="L76" i="67"/>
  <c r="O76" i="67" s="1"/>
  <c r="C21" i="100"/>
  <c r="X21" i="100" s="1"/>
  <c r="C11" i="100"/>
  <c r="X11" i="100" s="1"/>
  <c r="C60" i="100"/>
  <c r="X60" i="100" s="1"/>
  <c r="E55" i="81"/>
  <c r="I42" i="33"/>
  <c r="H72" i="31"/>
  <c r="C73" i="100"/>
  <c r="X73" i="100" s="1"/>
  <c r="V45" i="33"/>
  <c r="C44" i="72" s="1"/>
  <c r="AD45" i="33"/>
  <c r="AE45" i="33" s="1"/>
  <c r="Z10" i="46"/>
  <c r="D7" i="67"/>
  <c r="E7" i="67" s="1"/>
  <c r="F7" i="67" s="1"/>
  <c r="G7" i="67" s="1"/>
  <c r="AC7" i="33"/>
  <c r="W6" i="72"/>
  <c r="AX8" i="1"/>
  <c r="AV8" i="1"/>
  <c r="D7" i="127"/>
  <c r="E7" i="127" s="1"/>
  <c r="D4" i="80"/>
  <c r="E4" i="80" s="1"/>
  <c r="D7" i="117"/>
  <c r="E7" i="117" s="1"/>
  <c r="D7" i="113"/>
  <c r="E7" i="113" s="1"/>
  <c r="D7" i="125"/>
  <c r="E7" i="125" s="1"/>
  <c r="D7" i="128"/>
  <c r="E7" i="128" s="1"/>
  <c r="D7" i="115"/>
  <c r="E7" i="115" s="1"/>
  <c r="D7" i="131"/>
  <c r="E7" i="131" s="1"/>
  <c r="D7" i="120"/>
  <c r="E7" i="120" s="1"/>
  <c r="D7" i="116"/>
  <c r="E7" i="116" s="1"/>
  <c r="D4" i="76"/>
  <c r="E4" i="76" s="1"/>
  <c r="D7" i="126"/>
  <c r="E7" i="126" s="1"/>
  <c r="D7" i="129"/>
  <c r="E7" i="129" s="1"/>
  <c r="D7" i="114"/>
  <c r="E7" i="114" s="1"/>
  <c r="D7" i="118"/>
  <c r="E7" i="118" s="1"/>
  <c r="D7" i="119"/>
  <c r="E7" i="119" s="1"/>
  <c r="AQ8" i="1"/>
  <c r="Y63" i="72" l="1"/>
  <c r="AS63" i="72" s="1"/>
  <c r="Y69" i="72"/>
  <c r="AS69" i="72" s="1"/>
  <c r="Y61" i="72"/>
  <c r="AS61" i="72" s="1"/>
  <c r="Y44" i="72"/>
  <c r="AS44" i="72" s="1"/>
  <c r="Y39" i="72"/>
  <c r="AS39" i="72" s="1"/>
  <c r="Y67" i="72"/>
  <c r="AS67" i="72" s="1"/>
  <c r="Y48" i="72"/>
  <c r="AS48" i="72" s="1"/>
  <c r="Y52" i="72"/>
  <c r="AS52" i="72" s="1"/>
  <c r="Y54" i="72"/>
  <c r="AS54" i="72" s="1"/>
  <c r="Y26" i="72"/>
  <c r="AS26" i="72" s="1"/>
  <c r="T18" i="33"/>
  <c r="U18" i="33" s="1"/>
  <c r="X18" i="33" s="1"/>
  <c r="T25" i="33"/>
  <c r="U25" i="33" s="1"/>
  <c r="X25" i="33" s="1"/>
  <c r="AD62" i="33"/>
  <c r="AE62" i="33" s="1"/>
  <c r="V13" i="33"/>
  <c r="C12" i="72" s="1"/>
  <c r="C38" i="100"/>
  <c r="X38" i="100" s="1"/>
  <c r="AD39" i="33"/>
  <c r="AE39" i="33" s="1"/>
  <c r="X62" i="33"/>
  <c r="C61" i="100" s="1"/>
  <c r="X61" i="100" s="1"/>
  <c r="T21" i="33"/>
  <c r="U21" i="33" s="1"/>
  <c r="X21" i="33" s="1"/>
  <c r="T24" i="33"/>
  <c r="U24" i="33" s="1"/>
  <c r="V24" i="33" s="1"/>
  <c r="C23" i="72" s="1"/>
  <c r="V38" i="33"/>
  <c r="C37" i="72" s="1"/>
  <c r="AD38" i="33"/>
  <c r="AE38" i="33" s="1"/>
  <c r="V39" i="33"/>
  <c r="C38" i="72" s="1"/>
  <c r="AD13" i="33"/>
  <c r="AE13" i="33" s="1"/>
  <c r="V69" i="33"/>
  <c r="C68" i="72" s="1"/>
  <c r="AD69" i="33"/>
  <c r="AE69" i="33" s="1"/>
  <c r="X27" i="33"/>
  <c r="X49" i="33"/>
  <c r="X36" i="33"/>
  <c r="AD36" i="33"/>
  <c r="AE36" i="33" s="1"/>
  <c r="V36" i="33"/>
  <c r="C35" i="72" s="1"/>
  <c r="AD27" i="33"/>
  <c r="AE27" i="33" s="1"/>
  <c r="AD49" i="33"/>
  <c r="AE49" i="33" s="1"/>
  <c r="V51" i="33"/>
  <c r="C50" i="72" s="1"/>
  <c r="I4" i="80"/>
  <c r="T41" i="33"/>
  <c r="U41" i="33" s="1"/>
  <c r="X41" i="33" s="1"/>
  <c r="AD51" i="33"/>
  <c r="AE51" i="33" s="1"/>
  <c r="V31" i="33"/>
  <c r="C30" i="72" s="1"/>
  <c r="X68" i="33"/>
  <c r="AD68" i="33"/>
  <c r="AE68" i="33" s="1"/>
  <c r="V14" i="33"/>
  <c r="C13" i="72" s="1"/>
  <c r="AD14" i="33"/>
  <c r="AE14" i="33" s="1"/>
  <c r="V57" i="33"/>
  <c r="C56" i="72" s="1"/>
  <c r="T20" i="33"/>
  <c r="U20" i="33" s="1"/>
  <c r="X20" i="33" s="1"/>
  <c r="X31" i="33"/>
  <c r="X57" i="33"/>
  <c r="T10" i="33"/>
  <c r="U10" i="33" s="1"/>
  <c r="AD10" i="33" s="1"/>
  <c r="AE10" i="33" s="1"/>
  <c r="V56" i="33"/>
  <c r="C55" i="72" s="1"/>
  <c r="AD56" i="33"/>
  <c r="AE56" i="33" s="1"/>
  <c r="X56" i="33"/>
  <c r="V69" i="80"/>
  <c r="N69" i="80"/>
  <c r="W69" i="80" s="1"/>
  <c r="T73" i="33"/>
  <c r="U73" i="33" s="1"/>
  <c r="V73" i="33" s="1"/>
  <c r="C72" i="72" s="1"/>
  <c r="V35" i="33"/>
  <c r="C34" i="72" s="1"/>
  <c r="X28" i="33"/>
  <c r="AD28" i="33"/>
  <c r="AE28" i="33" s="1"/>
  <c r="V28" i="33"/>
  <c r="C27" i="72" s="1"/>
  <c r="X72" i="33"/>
  <c r="V72" i="33"/>
  <c r="C71" i="72" s="1"/>
  <c r="AD72" i="33"/>
  <c r="AE72" i="33" s="1"/>
  <c r="T9" i="33"/>
  <c r="U9" i="33" s="1"/>
  <c r="AD9" i="33" s="1"/>
  <c r="AE9" i="33" s="1"/>
  <c r="V19" i="33"/>
  <c r="C18" i="72" s="1"/>
  <c r="T43" i="33"/>
  <c r="U43" i="33" s="1"/>
  <c r="V43" i="33" s="1"/>
  <c r="C42" i="72" s="1"/>
  <c r="AD19" i="33"/>
  <c r="AE19" i="33" s="1"/>
  <c r="V30" i="33"/>
  <c r="C29" i="72" s="1"/>
  <c r="X30" i="33"/>
  <c r="AD30" i="33"/>
  <c r="AE30" i="33" s="1"/>
  <c r="X52" i="33"/>
  <c r="AD52" i="33"/>
  <c r="AE52" i="33" s="1"/>
  <c r="V52" i="33"/>
  <c r="C51" i="72" s="1"/>
  <c r="AD35" i="33"/>
  <c r="AE35" i="33" s="1"/>
  <c r="X44" i="33"/>
  <c r="V44" i="33"/>
  <c r="C43" i="72" s="1"/>
  <c r="AD44" i="33"/>
  <c r="AE44" i="33" s="1"/>
  <c r="C50" i="100"/>
  <c r="X50" i="100" s="1"/>
  <c r="X47" i="33"/>
  <c r="AD47" i="33"/>
  <c r="AE47" i="33" s="1"/>
  <c r="V47" i="33"/>
  <c r="C46" i="72" s="1"/>
  <c r="X8" i="33"/>
  <c r="AD8" i="33"/>
  <c r="AE8" i="33" s="1"/>
  <c r="V8" i="33"/>
  <c r="C7" i="72" s="1"/>
  <c r="J11" i="137"/>
  <c r="I18" i="137"/>
  <c r="V60" i="33"/>
  <c r="C59" i="72" s="1"/>
  <c r="AD60" i="33"/>
  <c r="AE60" i="33" s="1"/>
  <c r="X60" i="33"/>
  <c r="C39" i="100"/>
  <c r="X39" i="100" s="1"/>
  <c r="X29" i="33"/>
  <c r="AD29" i="33"/>
  <c r="AE29" i="33" s="1"/>
  <c r="V29" i="33"/>
  <c r="C28" i="72" s="1"/>
  <c r="C37" i="100"/>
  <c r="X37" i="100" s="1"/>
  <c r="C63" i="100"/>
  <c r="X63" i="100" s="1"/>
  <c r="V11" i="33"/>
  <c r="C10" i="72" s="1"/>
  <c r="X11" i="33"/>
  <c r="AD11" i="33"/>
  <c r="AE11" i="33" s="1"/>
  <c r="X48" i="33"/>
  <c r="V48" i="33"/>
  <c r="C47" i="72" s="1"/>
  <c r="AD48" i="33"/>
  <c r="AE48" i="33" s="1"/>
  <c r="C54" i="100"/>
  <c r="X54" i="100" s="1"/>
  <c r="X16" i="33"/>
  <c r="AD16" i="33"/>
  <c r="AE16" i="33" s="1"/>
  <c r="V16" i="33"/>
  <c r="C15" i="72" s="1"/>
  <c r="X17" i="33"/>
  <c r="V17" i="33"/>
  <c r="C16" i="72" s="1"/>
  <c r="AD17" i="33"/>
  <c r="AE17" i="33" s="1"/>
  <c r="AD18" i="33"/>
  <c r="AE18" i="33" s="1"/>
  <c r="C69" i="100"/>
  <c r="X69" i="100" s="1"/>
  <c r="X26" i="33"/>
  <c r="V26" i="33"/>
  <c r="C25" i="72" s="1"/>
  <c r="AD26" i="33"/>
  <c r="AE26" i="33" s="1"/>
  <c r="C68" i="100"/>
  <c r="X68" i="100" s="1"/>
  <c r="X75" i="33"/>
  <c r="V75" i="33"/>
  <c r="C74" i="72" s="1"/>
  <c r="AD75" i="33"/>
  <c r="AE75" i="33" s="1"/>
  <c r="V65" i="33"/>
  <c r="C64" i="72" s="1"/>
  <c r="X65" i="33"/>
  <c r="AD65" i="33"/>
  <c r="AE65" i="33" s="1"/>
  <c r="C12" i="100"/>
  <c r="X12" i="100" s="1"/>
  <c r="AD66" i="33"/>
  <c r="AE66" i="33" s="1"/>
  <c r="V66" i="33"/>
  <c r="C65" i="72" s="1"/>
  <c r="X66" i="33"/>
  <c r="X50" i="33"/>
  <c r="AD50" i="33"/>
  <c r="AE50" i="33" s="1"/>
  <c r="V50" i="33"/>
  <c r="C49" i="72" s="1"/>
  <c r="X37" i="33"/>
  <c r="AD37" i="33"/>
  <c r="AE37" i="33" s="1"/>
  <c r="V37" i="33"/>
  <c r="C36" i="72" s="1"/>
  <c r="X67" i="33"/>
  <c r="V67" i="33"/>
  <c r="C66" i="72" s="1"/>
  <c r="AD67" i="33"/>
  <c r="AE67" i="33" s="1"/>
  <c r="X54" i="33"/>
  <c r="V54" i="33"/>
  <c r="C53" i="72" s="1"/>
  <c r="AD54" i="33"/>
  <c r="AE54" i="33" s="1"/>
  <c r="E64" i="81"/>
  <c r="H22" i="137"/>
  <c r="X32" i="33"/>
  <c r="V32" i="33"/>
  <c r="C31" i="72" s="1"/>
  <c r="AD32" i="33"/>
  <c r="AE32" i="33" s="1"/>
  <c r="V33" i="33"/>
  <c r="C32" i="72" s="1"/>
  <c r="AD33" i="33"/>
  <c r="AE33" i="33" s="1"/>
  <c r="X33" i="33"/>
  <c r="C13" i="100"/>
  <c r="X13" i="100" s="1"/>
  <c r="C18" i="100"/>
  <c r="X18" i="100" s="1"/>
  <c r="X23" i="33"/>
  <c r="AD23" i="33"/>
  <c r="AE23" i="33" s="1"/>
  <c r="V23" i="33"/>
  <c r="C22" i="72" s="1"/>
  <c r="N17" i="46"/>
  <c r="L18" i="46"/>
  <c r="G56" i="81"/>
  <c r="H56" i="81"/>
  <c r="V14" i="100"/>
  <c r="R15" i="67"/>
  <c r="P76" i="67"/>
  <c r="E37" i="81"/>
  <c r="AG87" i="1"/>
  <c r="AF77" i="1"/>
  <c r="AO16" i="1"/>
  <c r="AK16" i="1"/>
  <c r="AH16" i="1"/>
  <c r="AG77" i="1"/>
  <c r="C44" i="100"/>
  <c r="X44" i="100" s="1"/>
  <c r="T42" i="33"/>
  <c r="U42" i="33" s="1"/>
  <c r="X42" i="33" s="1"/>
  <c r="G55" i="81"/>
  <c r="H55" i="81"/>
  <c r="H7" i="116"/>
  <c r="H4" i="80"/>
  <c r="T7" i="67"/>
  <c r="J7" i="67"/>
  <c r="H7" i="126"/>
  <c r="H7" i="118"/>
  <c r="H7" i="120"/>
  <c r="H7" i="115"/>
  <c r="H7" i="117"/>
  <c r="H7" i="129"/>
  <c r="H7" i="113"/>
  <c r="H7" i="119"/>
  <c r="H7" i="131"/>
  <c r="H7" i="125"/>
  <c r="H7" i="127"/>
  <c r="H7" i="114"/>
  <c r="H4" i="76"/>
  <c r="I4" i="76"/>
  <c r="H7" i="128"/>
  <c r="Y32" i="72" l="1"/>
  <c r="AS32" i="72" s="1"/>
  <c r="Y36" i="72"/>
  <c r="AS36" i="72" s="1"/>
  <c r="Y25" i="72"/>
  <c r="AS25" i="72" s="1"/>
  <c r="Y15" i="72"/>
  <c r="AS15" i="72" s="1"/>
  <c r="Y46" i="72"/>
  <c r="AS46" i="72" s="1"/>
  <c r="Y42" i="72"/>
  <c r="AS42" i="72" s="1"/>
  <c r="Y71" i="72"/>
  <c r="AS71" i="72" s="1"/>
  <c r="Y56" i="72"/>
  <c r="AS56" i="72" s="1"/>
  <c r="Y35" i="72"/>
  <c r="AS35" i="72" s="1"/>
  <c r="Y38" i="72"/>
  <c r="AS38" i="72" s="1"/>
  <c r="Y12" i="72"/>
  <c r="AS12" i="72" s="1"/>
  <c r="Y64" i="72"/>
  <c r="AS64" i="72" s="1"/>
  <c r="Y7" i="72"/>
  <c r="AS7" i="72" s="1"/>
  <c r="Y51" i="72"/>
  <c r="AS51" i="72" s="1"/>
  <c r="Y18" i="72"/>
  <c r="AS18" i="72" s="1"/>
  <c r="Y34" i="72"/>
  <c r="AS34" i="72" s="1"/>
  <c r="Y30" i="72"/>
  <c r="AS30" i="72" s="1"/>
  <c r="Y50" i="72"/>
  <c r="AS50" i="72" s="1"/>
  <c r="Y31" i="72"/>
  <c r="AS31" i="72" s="1"/>
  <c r="Y66" i="72"/>
  <c r="AS66" i="72" s="1"/>
  <c r="Y16" i="72"/>
  <c r="AS16" i="72" s="1"/>
  <c r="Y47" i="72"/>
  <c r="AS47" i="72" s="1"/>
  <c r="Y10" i="72"/>
  <c r="AS10" i="72" s="1"/>
  <c r="Y59" i="72"/>
  <c r="AS59" i="72" s="1"/>
  <c r="Y43" i="72"/>
  <c r="AS43" i="72" s="1"/>
  <c r="Y29" i="72"/>
  <c r="AS29" i="72" s="1"/>
  <c r="Y27" i="72"/>
  <c r="AS27" i="72" s="1"/>
  <c r="Y72" i="72"/>
  <c r="AS72" i="72" s="1"/>
  <c r="Y13" i="72"/>
  <c r="AS13" i="72" s="1"/>
  <c r="Y68" i="72"/>
  <c r="AS68" i="72" s="1"/>
  <c r="Y37" i="72"/>
  <c r="AS37" i="72" s="1"/>
  <c r="Y22" i="72"/>
  <c r="AS22" i="72" s="1"/>
  <c r="Y53" i="72"/>
  <c r="AS53" i="72" s="1"/>
  <c r="Y49" i="72"/>
  <c r="AS49" i="72" s="1"/>
  <c r="Y65" i="72"/>
  <c r="AS65" i="72" s="1"/>
  <c r="Y74" i="72"/>
  <c r="AS74" i="72" s="1"/>
  <c r="Y28" i="72"/>
  <c r="AS28" i="72" s="1"/>
  <c r="Y55" i="72"/>
  <c r="AS55" i="72" s="1"/>
  <c r="Y23" i="72"/>
  <c r="AS23" i="72" s="1"/>
  <c r="V25" i="33"/>
  <c r="C24" i="72" s="1"/>
  <c r="V18" i="33"/>
  <c r="C17" i="72" s="1"/>
  <c r="AD25" i="33"/>
  <c r="AE25" i="33" s="1"/>
  <c r="C26" i="100"/>
  <c r="X26" i="100" s="1"/>
  <c r="V21" i="33"/>
  <c r="C20" i="72" s="1"/>
  <c r="AD21" i="33"/>
  <c r="AE21" i="33" s="1"/>
  <c r="X24" i="33"/>
  <c r="AD24" i="33"/>
  <c r="AE24" i="33" s="1"/>
  <c r="X9" i="33"/>
  <c r="C24" i="100"/>
  <c r="X24" i="100" s="1"/>
  <c r="C30" i="100"/>
  <c r="X30" i="100" s="1"/>
  <c r="C48" i="100"/>
  <c r="X48" i="100" s="1"/>
  <c r="V10" i="33"/>
  <c r="C9" i="72" s="1"/>
  <c r="V41" i="33"/>
  <c r="C40" i="72" s="1"/>
  <c r="V20" i="33"/>
  <c r="C19" i="72" s="1"/>
  <c r="AD41" i="33"/>
  <c r="AE41" i="33" s="1"/>
  <c r="C67" i="100"/>
  <c r="X67" i="100" s="1"/>
  <c r="C35" i="100"/>
  <c r="X35" i="100" s="1"/>
  <c r="C56" i="100"/>
  <c r="X56" i="100" s="1"/>
  <c r="AD20" i="33"/>
  <c r="AE20" i="33" s="1"/>
  <c r="X73" i="33"/>
  <c r="AD43" i="33"/>
  <c r="AE43" i="33" s="1"/>
  <c r="V9" i="33"/>
  <c r="C8" i="72" s="1"/>
  <c r="X10" i="33"/>
  <c r="C55" i="100"/>
  <c r="X55" i="100" s="1"/>
  <c r="AD73" i="33"/>
  <c r="AE73" i="33" s="1"/>
  <c r="C27" i="100"/>
  <c r="X27" i="100" s="1"/>
  <c r="X43" i="33"/>
  <c r="C42" i="100" s="1"/>
  <c r="X42" i="100" s="1"/>
  <c r="C71" i="100"/>
  <c r="X71" i="100" s="1"/>
  <c r="C43" i="100"/>
  <c r="X43" i="100" s="1"/>
  <c r="C51" i="100"/>
  <c r="X51" i="100" s="1"/>
  <c r="C29" i="100"/>
  <c r="X29" i="100" s="1"/>
  <c r="C19" i="100"/>
  <c r="X19" i="100" s="1"/>
  <c r="C15" i="100"/>
  <c r="X15" i="100" s="1"/>
  <c r="C28" i="100"/>
  <c r="X28" i="100" s="1"/>
  <c r="M11" i="137"/>
  <c r="J18" i="137"/>
  <c r="C36" i="100"/>
  <c r="X36" i="100" s="1"/>
  <c r="C16" i="100"/>
  <c r="X16" i="100" s="1"/>
  <c r="C31" i="100"/>
  <c r="X31" i="100" s="1"/>
  <c r="C66" i="100"/>
  <c r="X66" i="100" s="1"/>
  <c r="C17" i="100"/>
  <c r="X17" i="100" s="1"/>
  <c r="C20" i="100"/>
  <c r="X20" i="100" s="1"/>
  <c r="C49" i="100"/>
  <c r="X49" i="100" s="1"/>
  <c r="C59" i="100"/>
  <c r="X59" i="100" s="1"/>
  <c r="C32" i="100"/>
  <c r="X32" i="100" s="1"/>
  <c r="C65" i="100"/>
  <c r="X65" i="100" s="1"/>
  <c r="C25" i="100"/>
  <c r="X25" i="100" s="1"/>
  <c r="C10" i="100"/>
  <c r="X10" i="100" s="1"/>
  <c r="C46" i="100"/>
  <c r="X46" i="100" s="1"/>
  <c r="C53" i="100"/>
  <c r="X53" i="100" s="1"/>
  <c r="C64" i="100"/>
  <c r="X64" i="100" s="1"/>
  <c r="C74" i="100"/>
  <c r="X74" i="100" s="1"/>
  <c r="C47" i="100"/>
  <c r="X47" i="100" s="1"/>
  <c r="I20" i="137"/>
  <c r="J20" i="137" s="1"/>
  <c r="M20" i="137" s="1"/>
  <c r="C7" i="100"/>
  <c r="X7" i="100" s="1"/>
  <c r="C40" i="100"/>
  <c r="X40" i="100" s="1"/>
  <c r="O17" i="46"/>
  <c r="Y17" i="46"/>
  <c r="Y18" i="46" s="1"/>
  <c r="N18" i="46"/>
  <c r="C22" i="100"/>
  <c r="X22" i="100" s="1"/>
  <c r="AP16" i="1"/>
  <c r="BA16" i="1"/>
  <c r="AW16" i="1"/>
  <c r="C15" i="33"/>
  <c r="C76" i="33" s="1"/>
  <c r="AO77" i="1"/>
  <c r="W14" i="100"/>
  <c r="V75" i="100"/>
  <c r="AH77" i="1"/>
  <c r="AO87" i="1"/>
  <c r="AK87" i="1"/>
  <c r="AL16" i="1"/>
  <c r="AK77" i="1"/>
  <c r="AL77" i="1" s="1"/>
  <c r="G37" i="81"/>
  <c r="H37" i="81"/>
  <c r="E38" i="81"/>
  <c r="S15" i="67"/>
  <c r="R76" i="67"/>
  <c r="V42" i="33"/>
  <c r="C41" i="72" s="1"/>
  <c r="AD42" i="33"/>
  <c r="AE42" i="33" s="1"/>
  <c r="R7" i="33"/>
  <c r="J4" i="76"/>
  <c r="I7" i="127"/>
  <c r="I7" i="128"/>
  <c r="I7" i="131"/>
  <c r="I7" i="113"/>
  <c r="J7" i="33"/>
  <c r="I7" i="129"/>
  <c r="L7" i="33"/>
  <c r="I7" i="115"/>
  <c r="I7" i="126"/>
  <c r="I7" i="117"/>
  <c r="N7" i="33"/>
  <c r="K7" i="33"/>
  <c r="I7" i="114"/>
  <c r="P7" i="33"/>
  <c r="I7" i="119"/>
  <c r="K7" i="67"/>
  <c r="Q7" i="33"/>
  <c r="I7" i="120"/>
  <c r="O7" i="33"/>
  <c r="I7" i="118"/>
  <c r="I7" i="125"/>
  <c r="S7" i="33"/>
  <c r="J4" i="80"/>
  <c r="M7" i="33"/>
  <c r="I7" i="116"/>
  <c r="Y19" i="72" l="1"/>
  <c r="AS19" i="72" s="1"/>
  <c r="Y17" i="72"/>
  <c r="AS17" i="72" s="1"/>
  <c r="Y8" i="72"/>
  <c r="AS8" i="72" s="1"/>
  <c r="Y40" i="72"/>
  <c r="AS40" i="72" s="1"/>
  <c r="Y20" i="72"/>
  <c r="AS20" i="72" s="1"/>
  <c r="Y24" i="72"/>
  <c r="AS24" i="72" s="1"/>
  <c r="Y41" i="72"/>
  <c r="AS41" i="72" s="1"/>
  <c r="Y9" i="72"/>
  <c r="AS9" i="72" s="1"/>
  <c r="C23" i="100"/>
  <c r="X23" i="100" s="1"/>
  <c r="C9" i="100"/>
  <c r="X9" i="100" s="1"/>
  <c r="C8" i="100"/>
  <c r="X8" i="100" s="1"/>
  <c r="C72" i="100"/>
  <c r="X72" i="100" s="1"/>
  <c r="J22" i="137"/>
  <c r="N11" i="137"/>
  <c r="N18" i="137" s="1"/>
  <c r="M18" i="137"/>
  <c r="M22" i="137" s="1"/>
  <c r="I22" i="137"/>
  <c r="Z17" i="46"/>
  <c r="Z18" i="46" s="1"/>
  <c r="O18" i="46"/>
  <c r="E48" i="81"/>
  <c r="H38" i="81"/>
  <c r="G38" i="81"/>
  <c r="D15" i="120"/>
  <c r="E15" i="120" s="1"/>
  <c r="D15" i="125"/>
  <c r="E15" i="125" s="1"/>
  <c r="D12" i="76"/>
  <c r="E12" i="76" s="1"/>
  <c r="D15" i="113"/>
  <c r="E15" i="113" s="1"/>
  <c r="D15" i="126"/>
  <c r="E15" i="126" s="1"/>
  <c r="D15" i="118"/>
  <c r="E15" i="118" s="1"/>
  <c r="D15" i="116"/>
  <c r="E15" i="116" s="1"/>
  <c r="D26" i="46"/>
  <c r="E26" i="46" s="1"/>
  <c r="H26" i="46" s="1"/>
  <c r="D15" i="115"/>
  <c r="E15" i="115" s="1"/>
  <c r="D15" i="128"/>
  <c r="E15" i="128" s="1"/>
  <c r="D29" i="46"/>
  <c r="E29" i="46" s="1"/>
  <c r="H29" i="46" s="1"/>
  <c r="D28" i="46"/>
  <c r="E28" i="46" s="1"/>
  <c r="D12" i="80"/>
  <c r="E12" i="80" s="1"/>
  <c r="D15" i="117"/>
  <c r="E15" i="117" s="1"/>
  <c r="D15" i="119"/>
  <c r="E15" i="119" s="1"/>
  <c r="D15" i="127"/>
  <c r="E15" i="127" s="1"/>
  <c r="D15" i="129"/>
  <c r="E15" i="129" s="1"/>
  <c r="D15" i="114"/>
  <c r="E15" i="114" s="1"/>
  <c r="D15" i="131"/>
  <c r="E15" i="131" s="1"/>
  <c r="AP77" i="1"/>
  <c r="AW87" i="1"/>
  <c r="AQ16" i="1"/>
  <c r="AX16" i="1"/>
  <c r="AV16" i="1"/>
  <c r="AW77" i="1"/>
  <c r="AC15" i="33"/>
  <c r="D15" i="67"/>
  <c r="E15" i="67" s="1"/>
  <c r="F15" i="67" s="1"/>
  <c r="G15" i="67" s="1"/>
  <c r="W14" i="72"/>
  <c r="W75" i="72" s="1"/>
  <c r="S76" i="67"/>
  <c r="C20" i="5"/>
  <c r="D20" i="5" s="1"/>
  <c r="G20" i="5" s="1"/>
  <c r="C9" i="5"/>
  <c r="D9" i="5" s="1"/>
  <c r="G9" i="5" s="1"/>
  <c r="C19" i="5"/>
  <c r="D19" i="5" s="1"/>
  <c r="C8" i="5"/>
  <c r="D8" i="5" s="1"/>
  <c r="W75" i="100"/>
  <c r="BA77" i="1"/>
  <c r="K4" i="76"/>
  <c r="M4" i="76" s="1"/>
  <c r="C41" i="100"/>
  <c r="X41" i="100" s="1"/>
  <c r="J7" i="113"/>
  <c r="L7" i="113" s="1"/>
  <c r="M7" i="113" s="1"/>
  <c r="J7" i="114"/>
  <c r="L7" i="114" s="1"/>
  <c r="J7" i="117"/>
  <c r="J7" i="125"/>
  <c r="J7" i="119"/>
  <c r="L7" i="119" s="1"/>
  <c r="J7" i="128"/>
  <c r="L7" i="128" s="1"/>
  <c r="J7" i="129"/>
  <c r="J7" i="116"/>
  <c r="K4" i="80"/>
  <c r="J7" i="118"/>
  <c r="J7" i="126"/>
  <c r="J7" i="115"/>
  <c r="J7" i="120"/>
  <c r="W7" i="67"/>
  <c r="T7" i="33"/>
  <c r="J7" i="131"/>
  <c r="J7" i="127"/>
  <c r="I12" i="76" l="1"/>
  <c r="I12" i="80"/>
  <c r="I73" i="80" s="1"/>
  <c r="G19" i="5"/>
  <c r="D21" i="5"/>
  <c r="E66" i="81"/>
  <c r="I20" i="5"/>
  <c r="J20" i="5" s="1"/>
  <c r="AR19" i="1"/>
  <c r="AR72" i="1"/>
  <c r="AR8" i="1"/>
  <c r="AR17" i="1"/>
  <c r="AR41" i="1"/>
  <c r="AR45" i="1"/>
  <c r="AR66" i="1"/>
  <c r="AR40" i="1"/>
  <c r="AR57" i="1"/>
  <c r="AR18" i="1"/>
  <c r="AR53" i="1"/>
  <c r="AR51" i="1"/>
  <c r="AR76" i="1"/>
  <c r="AR12" i="1"/>
  <c r="AR71" i="1"/>
  <c r="AR14" i="1"/>
  <c r="AR69" i="1"/>
  <c r="AR44" i="1"/>
  <c r="AR15" i="1"/>
  <c r="AR29" i="1"/>
  <c r="AR11" i="1"/>
  <c r="AR59" i="1"/>
  <c r="AR26" i="1"/>
  <c r="AR34" i="1"/>
  <c r="AR10" i="1"/>
  <c r="AR25" i="1"/>
  <c r="AR60" i="1"/>
  <c r="AR74" i="1"/>
  <c r="AR61" i="1"/>
  <c r="AR58" i="1"/>
  <c r="AR33" i="1"/>
  <c r="AR68" i="1"/>
  <c r="AR30" i="1"/>
  <c r="AR70" i="1"/>
  <c r="AR49" i="1"/>
  <c r="AR55" i="1"/>
  <c r="AR75" i="1"/>
  <c r="AR54" i="1"/>
  <c r="AR16" i="1"/>
  <c r="AR52" i="1"/>
  <c r="AR23" i="1"/>
  <c r="AR50" i="1"/>
  <c r="AR62" i="1"/>
  <c r="AR21" i="1"/>
  <c r="AR37" i="1"/>
  <c r="AR42" i="1"/>
  <c r="AR65" i="1"/>
  <c r="AR22" i="1"/>
  <c r="AR48" i="1"/>
  <c r="AR20" i="1"/>
  <c r="AR36" i="1"/>
  <c r="AR35" i="1"/>
  <c r="AR39" i="1"/>
  <c r="AR9" i="1"/>
  <c r="AR24" i="1"/>
  <c r="AR73" i="1"/>
  <c r="AR63" i="1"/>
  <c r="AR56" i="1"/>
  <c r="AR32" i="1"/>
  <c r="AR43" i="1"/>
  <c r="AR31" i="1"/>
  <c r="AR28" i="1"/>
  <c r="AR67" i="1"/>
  <c r="AR38" i="1"/>
  <c r="AR27" i="1"/>
  <c r="AR13" i="1"/>
  <c r="AR47" i="1"/>
  <c r="AR64" i="1"/>
  <c r="AR46" i="1"/>
  <c r="E49" i="81"/>
  <c r="D76" i="67"/>
  <c r="E76" i="67" s="1"/>
  <c r="F76" i="67" s="1"/>
  <c r="H15" i="114"/>
  <c r="E77" i="114"/>
  <c r="H15" i="127"/>
  <c r="E76" i="127"/>
  <c r="H15" i="117"/>
  <c r="E76" i="117"/>
  <c r="E30" i="46"/>
  <c r="H28" i="46"/>
  <c r="H15" i="128"/>
  <c r="E76" i="128"/>
  <c r="H15" i="118"/>
  <c r="E76" i="118"/>
  <c r="H15" i="113"/>
  <c r="E76" i="113"/>
  <c r="H15" i="125"/>
  <c r="E76" i="125"/>
  <c r="H48" i="81"/>
  <c r="G48" i="81"/>
  <c r="D10" i="5"/>
  <c r="G8" i="5"/>
  <c r="I9" i="5"/>
  <c r="J9" i="5" s="1"/>
  <c r="E53" i="81"/>
  <c r="J15" i="67"/>
  <c r="T15" i="67"/>
  <c r="T76" i="67" s="1"/>
  <c r="G76" i="67"/>
  <c r="E62" i="81" s="1"/>
  <c r="AQ77" i="1"/>
  <c r="AX77" i="1"/>
  <c r="AV77" i="1"/>
  <c r="AY55" i="1"/>
  <c r="AY17" i="1"/>
  <c r="AY19" i="1"/>
  <c r="AY54" i="1"/>
  <c r="AY75" i="1"/>
  <c r="AY41" i="1"/>
  <c r="AY45" i="1"/>
  <c r="AY18" i="1"/>
  <c r="AY62" i="1"/>
  <c r="AY76" i="1"/>
  <c r="AY27" i="1"/>
  <c r="AY22" i="1"/>
  <c r="AY65" i="1"/>
  <c r="AY51" i="1"/>
  <c r="AY71" i="1"/>
  <c r="AY20" i="1"/>
  <c r="AY58" i="1"/>
  <c r="AY48" i="1"/>
  <c r="AY24" i="1"/>
  <c r="AY69" i="1"/>
  <c r="AY38" i="1"/>
  <c r="AY35" i="1"/>
  <c r="AY28" i="1"/>
  <c r="AY14" i="1"/>
  <c r="AY44" i="1"/>
  <c r="AY10" i="1"/>
  <c r="AY47" i="1"/>
  <c r="AY56" i="1"/>
  <c r="AY29" i="1"/>
  <c r="AY33" i="1"/>
  <c r="AY25" i="1"/>
  <c r="AY74" i="1"/>
  <c r="AY13" i="1"/>
  <c r="AY70" i="1"/>
  <c r="AY72" i="1"/>
  <c r="AY16" i="1"/>
  <c r="AY8" i="1"/>
  <c r="AY66" i="1"/>
  <c r="AY52" i="1"/>
  <c r="AY23" i="1"/>
  <c r="AY40" i="1"/>
  <c r="AY50" i="1"/>
  <c r="AY21" i="1"/>
  <c r="AY57" i="1"/>
  <c r="AY37" i="1"/>
  <c r="AY34" i="1"/>
  <c r="AY26" i="1"/>
  <c r="AY11" i="1"/>
  <c r="AY42" i="1"/>
  <c r="AY32" i="1"/>
  <c r="AY53" i="1"/>
  <c r="AY12" i="1"/>
  <c r="AY63" i="1"/>
  <c r="AY61" i="1"/>
  <c r="AY73" i="1"/>
  <c r="AY64" i="1"/>
  <c r="AY68" i="1"/>
  <c r="AY9" i="1"/>
  <c r="AY46" i="1"/>
  <c r="AY49" i="1"/>
  <c r="AY43" i="1"/>
  <c r="AY36" i="1"/>
  <c r="AY30" i="1"/>
  <c r="AY31" i="1"/>
  <c r="AY15" i="1"/>
  <c r="AY39" i="1"/>
  <c r="AY67" i="1"/>
  <c r="AY60" i="1"/>
  <c r="AY59" i="1"/>
  <c r="I73" i="76"/>
  <c r="H15" i="131"/>
  <c r="E76" i="131"/>
  <c r="H15" i="129"/>
  <c r="E76" i="129"/>
  <c r="H15" i="119"/>
  <c r="E76" i="119"/>
  <c r="H12" i="80"/>
  <c r="E73" i="80"/>
  <c r="E77" i="80" s="1"/>
  <c r="I29" i="46"/>
  <c r="J29" i="46"/>
  <c r="J30" i="46" s="1"/>
  <c r="J38" i="46" s="1"/>
  <c r="H15" i="115"/>
  <c r="E76" i="115"/>
  <c r="H15" i="116"/>
  <c r="E76" i="116"/>
  <c r="H15" i="126"/>
  <c r="E76" i="126"/>
  <c r="H12" i="76"/>
  <c r="R15" i="33" s="1"/>
  <c r="R76" i="33" s="1"/>
  <c r="E73" i="76"/>
  <c r="E77" i="76" s="1"/>
  <c r="H15" i="120"/>
  <c r="E76" i="120"/>
  <c r="L7" i="117"/>
  <c r="M7" i="117" s="1"/>
  <c r="L7" i="125"/>
  <c r="L7" i="129"/>
  <c r="U7" i="129" s="1"/>
  <c r="L7" i="127"/>
  <c r="L7" i="131"/>
  <c r="N4" i="76"/>
  <c r="V4" i="76"/>
  <c r="M7" i="119"/>
  <c r="U7" i="119"/>
  <c r="M7" i="114"/>
  <c r="U7" i="114"/>
  <c r="H64" i="81"/>
  <c r="G64" i="81"/>
  <c r="U7" i="33"/>
  <c r="X7" i="33" s="1"/>
  <c r="U7" i="128"/>
  <c r="M7" i="128"/>
  <c r="L7" i="115"/>
  <c r="M4" i="80"/>
  <c r="L7" i="118"/>
  <c r="L7" i="120"/>
  <c r="L7" i="126"/>
  <c r="L7" i="116"/>
  <c r="U7" i="113"/>
  <c r="G53" i="81" l="1"/>
  <c r="H53" i="81"/>
  <c r="E52" i="81"/>
  <c r="I8" i="5"/>
  <c r="G10" i="5"/>
  <c r="L28" i="46"/>
  <c r="H30" i="46"/>
  <c r="G66" i="81"/>
  <c r="H66" i="81"/>
  <c r="E65" i="81"/>
  <c r="G21" i="5"/>
  <c r="I19" i="5"/>
  <c r="I30" i="46"/>
  <c r="I38" i="46" s="1"/>
  <c r="K29" i="46"/>
  <c r="J12" i="80"/>
  <c r="H73" i="80"/>
  <c r="H77" i="80" s="1"/>
  <c r="I15" i="119"/>
  <c r="P15" i="33"/>
  <c r="P76" i="33" s="1"/>
  <c r="H76" i="119"/>
  <c r="I15" i="129"/>
  <c r="H76" i="129"/>
  <c r="I15" i="131"/>
  <c r="H76" i="131"/>
  <c r="O7" i="117"/>
  <c r="W7" i="117" s="1"/>
  <c r="Q15" i="33"/>
  <c r="Q76" i="33" s="1"/>
  <c r="I15" i="120"/>
  <c r="H76" i="120"/>
  <c r="J12" i="76"/>
  <c r="H73" i="76"/>
  <c r="H77" i="76" s="1"/>
  <c r="I15" i="126"/>
  <c r="H76" i="126"/>
  <c r="M15" i="33"/>
  <c r="M76" i="33" s="1"/>
  <c r="I15" i="116"/>
  <c r="H76" i="116"/>
  <c r="I15" i="115"/>
  <c r="L15" i="33"/>
  <c r="L76" i="33" s="1"/>
  <c r="H76" i="115"/>
  <c r="J40" i="46"/>
  <c r="K40" i="46" s="1"/>
  <c r="H62" i="81"/>
  <c r="G62" i="81"/>
  <c r="K15" i="67"/>
  <c r="J76" i="67"/>
  <c r="I15" i="125"/>
  <c r="H76" i="125"/>
  <c r="I15" i="113"/>
  <c r="J15" i="33"/>
  <c r="J76" i="33" s="1"/>
  <c r="H76" i="113"/>
  <c r="I15" i="118"/>
  <c r="O15" i="33"/>
  <c r="O76" i="33" s="1"/>
  <c r="H76" i="118"/>
  <c r="I15" i="128"/>
  <c r="H76" i="128"/>
  <c r="E31" i="46"/>
  <c r="E38" i="46"/>
  <c r="N15" i="33"/>
  <c r="N76" i="33" s="1"/>
  <c r="I15" i="117"/>
  <c r="H76" i="117"/>
  <c r="I15" i="127"/>
  <c r="H76" i="127"/>
  <c r="I15" i="114"/>
  <c r="K15" i="33"/>
  <c r="K76" i="33" s="1"/>
  <c r="H77" i="114"/>
  <c r="S15" i="33"/>
  <c r="S76" i="33" s="1"/>
  <c r="G49" i="81"/>
  <c r="H49" i="81"/>
  <c r="U7" i="125"/>
  <c r="M7" i="125"/>
  <c r="V7" i="125" s="1"/>
  <c r="M7" i="129"/>
  <c r="V7" i="129" s="1"/>
  <c r="M7" i="126"/>
  <c r="U7" i="126"/>
  <c r="U7" i="120"/>
  <c r="M7" i="120"/>
  <c r="V4" i="80"/>
  <c r="N4" i="80"/>
  <c r="AD7" i="33"/>
  <c r="AE7" i="33" s="1"/>
  <c r="V7" i="33"/>
  <c r="V7" i="119"/>
  <c r="W4" i="76"/>
  <c r="U7" i="118"/>
  <c r="M7" i="118"/>
  <c r="U7" i="131"/>
  <c r="M7" i="131"/>
  <c r="V7" i="114"/>
  <c r="V7" i="113"/>
  <c r="M7" i="116"/>
  <c r="U7" i="116"/>
  <c r="X7" i="117"/>
  <c r="M7" i="115"/>
  <c r="U7" i="115"/>
  <c r="V7" i="128"/>
  <c r="U7" i="127"/>
  <c r="M7" i="127"/>
  <c r="J15" i="128" l="1"/>
  <c r="I76" i="128"/>
  <c r="J15" i="114"/>
  <c r="I77" i="114"/>
  <c r="J15" i="127"/>
  <c r="I76" i="127"/>
  <c r="J15" i="117"/>
  <c r="I76" i="117"/>
  <c r="J15" i="118"/>
  <c r="I76" i="118"/>
  <c r="E78" i="81"/>
  <c r="E61" i="81"/>
  <c r="J44" i="46"/>
  <c r="J15" i="115"/>
  <c r="I76" i="115"/>
  <c r="J15" i="116"/>
  <c r="I76" i="116"/>
  <c r="J15" i="119"/>
  <c r="I76" i="119"/>
  <c r="K12" i="80"/>
  <c r="J73" i="80"/>
  <c r="I42" i="46"/>
  <c r="K42" i="46" s="1"/>
  <c r="H31" i="46"/>
  <c r="E58" i="81"/>
  <c r="I15" i="33"/>
  <c r="H38" i="46"/>
  <c r="E51" i="81"/>
  <c r="G52" i="81"/>
  <c r="H52" i="81"/>
  <c r="E60" i="81"/>
  <c r="J15" i="113"/>
  <c r="I76" i="113"/>
  <c r="J15" i="125"/>
  <c r="I76" i="125"/>
  <c r="W15" i="67"/>
  <c r="W76" i="67" s="1"/>
  <c r="K76" i="67"/>
  <c r="J15" i="126"/>
  <c r="I76" i="126"/>
  <c r="K12" i="76"/>
  <c r="J73" i="76"/>
  <c r="J15" i="120"/>
  <c r="I76" i="120"/>
  <c r="J15" i="131"/>
  <c r="I76" i="131"/>
  <c r="J15" i="129"/>
  <c r="I76" i="129"/>
  <c r="K30" i="46"/>
  <c r="K38" i="46" s="1"/>
  <c r="L29" i="46"/>
  <c r="N29" i="46" s="1"/>
  <c r="I21" i="5"/>
  <c r="J19" i="5"/>
  <c r="J21" i="5" s="1"/>
  <c r="G65" i="81"/>
  <c r="H65" i="81"/>
  <c r="N28" i="46"/>
  <c r="J8" i="5"/>
  <c r="J10" i="5" s="1"/>
  <c r="I10" i="5"/>
  <c r="V7" i="115"/>
  <c r="V7" i="116"/>
  <c r="W4" i="80"/>
  <c r="V7" i="118"/>
  <c r="V7" i="127"/>
  <c r="V7" i="131"/>
  <c r="C6" i="100"/>
  <c r="V7" i="120"/>
  <c r="C6" i="72"/>
  <c r="Y6" i="72" s="1"/>
  <c r="V7" i="126"/>
  <c r="L30" i="46" l="1"/>
  <c r="L38" i="46" s="1"/>
  <c r="I44" i="46"/>
  <c r="K44" i="46"/>
  <c r="G60" i="81"/>
  <c r="H60" i="81"/>
  <c r="H58" i="81"/>
  <c r="G58" i="81"/>
  <c r="E54" i="81"/>
  <c r="E67" i="81" s="1"/>
  <c r="J75" i="80"/>
  <c r="K75" i="80" s="1"/>
  <c r="M75" i="80" s="1"/>
  <c r="V75" i="80" s="1"/>
  <c r="O29" i="46"/>
  <c r="Z29" i="46" s="1"/>
  <c r="Y29" i="46"/>
  <c r="J75" i="76"/>
  <c r="K75" i="76" s="1"/>
  <c r="M75" i="76" s="1"/>
  <c r="V75" i="76" s="1"/>
  <c r="Y28" i="46"/>
  <c r="N30" i="46"/>
  <c r="N38" i="46" s="1"/>
  <c r="O28" i="46"/>
  <c r="L15" i="129"/>
  <c r="J76" i="129"/>
  <c r="L15" i="131"/>
  <c r="J76" i="131"/>
  <c r="L15" i="120"/>
  <c r="J76" i="120"/>
  <c r="M12" i="76"/>
  <c r="K73" i="76"/>
  <c r="L15" i="126"/>
  <c r="J76" i="126"/>
  <c r="L15" i="125"/>
  <c r="J76" i="125"/>
  <c r="L15" i="113"/>
  <c r="M15" i="113" s="1"/>
  <c r="M76" i="113" s="1"/>
  <c r="J76" i="113"/>
  <c r="G51" i="81"/>
  <c r="H51" i="81"/>
  <c r="T15" i="33"/>
  <c r="I76" i="33"/>
  <c r="E77" i="81" s="1"/>
  <c r="M12" i="80"/>
  <c r="K73" i="80"/>
  <c r="L15" i="119"/>
  <c r="J76" i="119"/>
  <c r="L15" i="116"/>
  <c r="J76" i="116"/>
  <c r="L15" i="115"/>
  <c r="J76" i="115"/>
  <c r="E79" i="81"/>
  <c r="G79" i="81" s="1"/>
  <c r="H61" i="81"/>
  <c r="G61" i="81"/>
  <c r="G78" i="81"/>
  <c r="H78" i="81"/>
  <c r="L15" i="118"/>
  <c r="J76" i="118"/>
  <c r="L15" i="117"/>
  <c r="J76" i="117"/>
  <c r="L15" i="127"/>
  <c r="J76" i="127"/>
  <c r="L15" i="114"/>
  <c r="J77" i="114"/>
  <c r="L15" i="128"/>
  <c r="J76" i="128"/>
  <c r="X6" i="100"/>
  <c r="Y30" i="46" l="1"/>
  <c r="Y38" i="46" s="1"/>
  <c r="K77" i="80"/>
  <c r="K77" i="76"/>
  <c r="J77" i="76"/>
  <c r="U15" i="128"/>
  <c r="U76" i="128" s="1"/>
  <c r="M15" i="128"/>
  <c r="L76" i="128"/>
  <c r="M15" i="114"/>
  <c r="U15" i="114"/>
  <c r="U77" i="114" s="1"/>
  <c r="L77" i="114"/>
  <c r="U15" i="127"/>
  <c r="U76" i="127" s="1"/>
  <c r="M15" i="127"/>
  <c r="L76" i="127"/>
  <c r="O15" i="117"/>
  <c r="M15" i="117"/>
  <c r="L76" i="117"/>
  <c r="U15" i="118"/>
  <c r="U76" i="118" s="1"/>
  <c r="M15" i="118"/>
  <c r="L76" i="118"/>
  <c r="H77" i="81"/>
  <c r="G77" i="81"/>
  <c r="E68" i="81"/>
  <c r="E80" i="81" s="1"/>
  <c r="G67" i="81"/>
  <c r="H67" i="81"/>
  <c r="U15" i="113"/>
  <c r="U76" i="113" s="1"/>
  <c r="L76" i="113"/>
  <c r="M15" i="125"/>
  <c r="U15" i="125"/>
  <c r="U76" i="125" s="1"/>
  <c r="L76" i="125"/>
  <c r="U15" i="126"/>
  <c r="U76" i="126" s="1"/>
  <c r="M15" i="126"/>
  <c r="L76" i="126"/>
  <c r="N12" i="76"/>
  <c r="V12" i="76"/>
  <c r="V73" i="76" s="1"/>
  <c r="V77" i="76" s="1"/>
  <c r="M73" i="76"/>
  <c r="M77" i="76" s="1"/>
  <c r="M15" i="120"/>
  <c r="U15" i="120"/>
  <c r="U76" i="120" s="1"/>
  <c r="L76" i="120"/>
  <c r="U15" i="131"/>
  <c r="U76" i="131" s="1"/>
  <c r="M15" i="131"/>
  <c r="L76" i="131"/>
  <c r="M15" i="129"/>
  <c r="U15" i="129"/>
  <c r="U76" i="129" s="1"/>
  <c r="L76" i="129"/>
  <c r="J77" i="80"/>
  <c r="H54" i="81"/>
  <c r="G54" i="81"/>
  <c r="U15" i="115"/>
  <c r="U76" i="115" s="1"/>
  <c r="M15" i="115"/>
  <c r="L76" i="115"/>
  <c r="M15" i="116"/>
  <c r="U15" i="116"/>
  <c r="U76" i="116" s="1"/>
  <c r="L76" i="116"/>
  <c r="U15" i="119"/>
  <c r="U76" i="119" s="1"/>
  <c r="M15" i="119"/>
  <c r="L76" i="119"/>
  <c r="V12" i="80"/>
  <c r="V73" i="80" s="1"/>
  <c r="V77" i="80" s="1"/>
  <c r="N12" i="80"/>
  <c r="M73" i="80"/>
  <c r="M77" i="80" s="1"/>
  <c r="U15" i="33"/>
  <c r="T76" i="33"/>
  <c r="O30" i="46"/>
  <c r="O38" i="46" s="1"/>
  <c r="Z28" i="46"/>
  <c r="Z30" i="46" s="1"/>
  <c r="Z38" i="46" s="1"/>
  <c r="AS6" i="72"/>
  <c r="V15" i="119" l="1"/>
  <c r="V76" i="119" s="1"/>
  <c r="M76" i="119"/>
  <c r="V15" i="116"/>
  <c r="V76" i="116" s="1"/>
  <c r="M76" i="116"/>
  <c r="V15" i="115"/>
  <c r="V76" i="115" s="1"/>
  <c r="M76" i="115"/>
  <c r="E82" i="81"/>
  <c r="H80" i="81"/>
  <c r="G80" i="81"/>
  <c r="X15" i="33"/>
  <c r="V15" i="33"/>
  <c r="AD15" i="33"/>
  <c r="AE15" i="33" s="1"/>
  <c r="U76" i="33"/>
  <c r="W12" i="80"/>
  <c r="W73" i="80" s="1"/>
  <c r="N73" i="80"/>
  <c r="W12" i="76"/>
  <c r="W73" i="76" s="1"/>
  <c r="N73" i="76"/>
  <c r="V15" i="126"/>
  <c r="V76" i="126" s="1"/>
  <c r="M76" i="126"/>
  <c r="V15" i="125"/>
  <c r="V76" i="125" s="1"/>
  <c r="M76" i="125"/>
  <c r="V15" i="113"/>
  <c r="V76" i="113" s="1"/>
  <c r="H68" i="81"/>
  <c r="G68" i="81"/>
  <c r="V15" i="118"/>
  <c r="V76" i="118" s="1"/>
  <c r="M76" i="118"/>
  <c r="W15" i="117"/>
  <c r="W76" i="117" s="1"/>
  <c r="O76" i="117"/>
  <c r="V15" i="127"/>
  <c r="V76" i="127" s="1"/>
  <c r="M76" i="127"/>
  <c r="V15" i="114"/>
  <c r="V77" i="114" s="1"/>
  <c r="M77" i="114"/>
  <c r="V15" i="128"/>
  <c r="V76" i="128" s="1"/>
  <c r="M76" i="128"/>
  <c r="V15" i="129"/>
  <c r="V76" i="129" s="1"/>
  <c r="M76" i="129"/>
  <c r="V15" i="131"/>
  <c r="V76" i="131" s="1"/>
  <c r="M76" i="131"/>
  <c r="V15" i="120"/>
  <c r="V76" i="120" s="1"/>
  <c r="M76" i="120"/>
  <c r="X15" i="117"/>
  <c r="X76" i="117" s="1"/>
  <c r="M76" i="117"/>
  <c r="C14" i="72" l="1"/>
  <c r="Y14" i="72" s="1"/>
  <c r="V76" i="33"/>
  <c r="C14" i="100"/>
  <c r="X76" i="33"/>
  <c r="G82" i="81"/>
  <c r="X14" i="100" l="1"/>
  <c r="X75" i="100" s="1"/>
  <c r="C75" i="100"/>
  <c r="X77" i="100" s="1"/>
  <c r="C75" i="72"/>
  <c r="Y77" i="72" s="1"/>
  <c r="AS14" i="72" l="1"/>
  <c r="AS75" i="72" s="1"/>
  <c r="Y75" i="72"/>
  <c r="AS77" i="72" s="1"/>
</calcChain>
</file>

<file path=xl/sharedStrings.xml><?xml version="1.0" encoding="utf-8"?>
<sst xmlns="http://schemas.openxmlformats.org/spreadsheetml/2006/main" count="3099" uniqueCount="983">
  <si>
    <t>Pay Raise
&amp; Insurance
Supplement
Amounts
from Prior
Years</t>
  </si>
  <si>
    <t>FY2006/07
Hold 
Harmless 
Amount</t>
  </si>
  <si>
    <t>School 
System</t>
  </si>
  <si>
    <t>AD VALOREM 
CONSTITUTIONAL TAX</t>
  </si>
  <si>
    <t>COMBINED 
SALES 
PERCENT</t>
  </si>
  <si>
    <t>SALES
REVENUE 
(NON-DEBT)</t>
  </si>
  <si>
    <t>SALES 
REVENUE 
(DEBT)</t>
  </si>
  <si>
    <t>PARISH 
MILL 
RATE</t>
  </si>
  <si>
    <t>DIST 
MILL 
LOW</t>
  </si>
  <si>
    <t>DIST 
MILL 
HIGH</t>
  </si>
  <si>
    <t># 
OF 
DISTS.</t>
  </si>
  <si>
    <t>DIST 
REVENUE 
AMOUNT</t>
  </si>
  <si>
    <t>PARISH 
REVENUE 
AMOUNT</t>
  </si>
  <si>
    <t>TOTAL AVG. 
MILL RATE 
(NON DEBT)</t>
  </si>
  <si>
    <t>TOTAL AVG.
MILL RATE 
(DEBT)</t>
  </si>
  <si>
    <t>REVENUE
DISTRICT 
INCL. DEBT</t>
  </si>
  <si>
    <t>REVENUE
PARISHWIDE
INCL. DEBT</t>
  </si>
  <si>
    <t>PARISHWIDE  
MILLAGE 
INCL. DEBT</t>
  </si>
  <si>
    <t>TOTAL AVG.
MILL RATE 
INCLUDING
DEBT</t>
  </si>
  <si>
    <t>DEBT 
RATE</t>
  </si>
  <si>
    <t>% 
Change</t>
  </si>
  <si>
    <t>col. 34+col.30+col. 26</t>
  </si>
  <si>
    <t>set by resolution</t>
  </si>
  <si>
    <t>col. 5 + col. 7 + col. 11</t>
  </si>
  <si>
    <t>col. 14 + col. 18</t>
  </si>
  <si>
    <t>La. Tax Commission Tables 41 &amp; 43</t>
  </si>
  <si>
    <t>(col. 26/ col. 3)*1000</t>
  </si>
  <si>
    <t>col. 30/ col 27</t>
  </si>
  <si>
    <t>col. 28/ col. 31</t>
  </si>
  <si>
    <t>col. 29/ col. 31</t>
  </si>
  <si>
    <t>City of Baker</t>
  </si>
  <si>
    <t>Foreign Language Associates</t>
  </si>
  <si>
    <t>Zachary Community</t>
  </si>
  <si>
    <t>col. 4 + col. 6 + col 13</t>
  </si>
  <si>
    <t>col. 5 + col. 7 + col 14</t>
  </si>
  <si>
    <t>col. 11 + col. 18</t>
  </si>
  <si>
    <t>(col. 19/ col. 3)*1000</t>
  </si>
  <si>
    <t>(col. 12/ col. 3)*1000</t>
  </si>
  <si>
    <t>SUMMARY OF AD VALOREM TAXES</t>
  </si>
  <si>
    <t>AFR-kpc 62220 col. 3</t>
  </si>
  <si>
    <t>AFR-kpc 62220 col. 4</t>
  </si>
  <si>
    <t>AFR-kpc 62320 col. 3</t>
  </si>
  <si>
    <t>AFR-kpc 62320 col. 4</t>
  </si>
  <si>
    <t>AFR-kpc 62320 col. 5</t>
  </si>
  <si>
    <t>AFR-kpc 62320 col. 6</t>
  </si>
  <si>
    <t>AFR-kpc 62320 col. 7</t>
  </si>
  <si>
    <t>AFR-kpc 62320 col. 8</t>
  </si>
  <si>
    <t>AFR-kpc 62620 col. 3</t>
  </si>
  <si>
    <t>AFR-kpc 62620 col. 4</t>
  </si>
  <si>
    <t>AFR-kpc 62620 col. 5</t>
  </si>
  <si>
    <t>AFR-kpc 62620 col. 6</t>
  </si>
  <si>
    <t>AFR-kpc 62620 col. 7</t>
  </si>
  <si>
    <t>AFR-kpc 62620 col. 8</t>
  </si>
  <si>
    <t>AD VALOREM RENEWABLE TAXES</t>
  </si>
  <si>
    <t>DEBT SERVICE TAXES</t>
  </si>
  <si>
    <t>TOTAL AD VALOREM TAXES         (DEBT)</t>
  </si>
  <si>
    <t>PARISH REVENUE AMOUNT</t>
  </si>
  <si>
    <t>DIST. MILL LOW</t>
  </si>
  <si>
    <t>DIST. MILL HIGH</t>
  </si>
  <si>
    <t># OF DISTS.</t>
  </si>
  <si>
    <t>("Table 7 state total col. 25" x "Tbl 7 col. 3") / 1000</t>
  </si>
  <si>
    <t>"Table 7 total col. 27" * "Tbl 7 col. 31"</t>
  </si>
  <si>
    <t>Input from SIS</t>
  </si>
  <si>
    <t>K.</t>
  </si>
  <si>
    <t>Foreign Associate Teacher Stipends</t>
  </si>
  <si>
    <t>See 
Table 2</t>
  </si>
  <si>
    <t>col.13 x Tbl 3, col.1 (Oct 1 membership)</t>
  </si>
  <si>
    <t>If col 14 &gt;col. 15 then col. 15, otherwise col. 14</t>
  </si>
  <si>
    <t>AFR-kpc 63320 col.3</t>
  </si>
  <si>
    <t>AFR kpc 63320 col.4</t>
  </si>
  <si>
    <t>Input from ASR</t>
  </si>
  <si>
    <t>SUMMARY OF SALES TAXES</t>
  </si>
  <si>
    <t>Col.31 X 5%</t>
  </si>
  <si>
    <t>Per HCR 235</t>
  </si>
  <si>
    <t>SIS</t>
  </si>
  <si>
    <t>AFR kpcs (50% of 1210, 1220) 8231, 8232, 8233, 8234, 8240, 14200, 14300, 14400</t>
  </si>
  <si>
    <t>Col.35 / Tab.3 col.1</t>
  </si>
  <si>
    <t>Recovery School District Funding</t>
  </si>
  <si>
    <t>Sitecode</t>
  </si>
  <si>
    <t>RSD Chartered</t>
  </si>
  <si>
    <t>Total RSD Chartered</t>
  </si>
  <si>
    <t>TOTAL RSD 
(Operated + Chartered)</t>
  </si>
  <si>
    <t xml:space="preserve">Percent 
State </t>
  </si>
  <si>
    <t>O.</t>
  </si>
  <si>
    <t>Adjustments</t>
  </si>
  <si>
    <t>P.</t>
  </si>
  <si>
    <t>Total 
Stipends
for Foreign
Associate
Teachers</t>
  </si>
  <si>
    <t>See Table 2</t>
  </si>
  <si>
    <t xml:space="preserve">COMPUTED SALES
TAX BASE with GROWTH CAP OF </t>
  </si>
  <si>
    <t>STATE TOTAL</t>
  </si>
  <si>
    <t>COMPUTED SALES TAX BASE</t>
  </si>
  <si>
    <t>NON-DEBT RATE</t>
  </si>
  <si>
    <t>Hide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</si>
  <si>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</si>
  <si>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</si>
  <si>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</si>
  <si>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</si>
  <si>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</si>
  <si>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</si>
  <si>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</si>
  <si>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</si>
  <si>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</si>
  <si>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</si>
  <si>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</si>
  <si>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</si>
  <si>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</si>
  <si>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</si>
  <si>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</si>
  <si>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</si>
  <si>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</si>
  <si>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</si>
  <si>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</si>
  <si>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</si>
  <si>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</si>
  <si>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</si>
  <si>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</si>
  <si>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</si>
  <si>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</si>
  <si>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</si>
  <si>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</si>
  <si>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</si>
  <si>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</si>
  <si>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</si>
  <si>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</si>
  <si>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</si>
  <si>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</si>
  <si>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</si>
  <si>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</si>
  <si>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</si>
  <si>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</si>
  <si>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</si>
  <si>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</si>
  <si>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</si>
  <si>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</si>
  <si>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</si>
  <si>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</si>
  <si>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</si>
  <si>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</si>
  <si>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</si>
  <si>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</si>
  <si>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</si>
  <si>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</si>
  <si>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</si>
  <si>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</si>
  <si>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</si>
  <si>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</si>
  <si>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</si>
  <si>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</si>
  <si>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</si>
  <si>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</si>
  <si>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</si>
  <si>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</si>
  <si>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</si>
  <si>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</si>
  <si>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</si>
  <si>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</si>
  <si>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</si>
  <si>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</si>
  <si>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STATE TOTALS</t>
  </si>
  <si>
    <t>Level 1 Base Per Pupil Amount</t>
  </si>
  <si>
    <t>1.</t>
  </si>
  <si>
    <t>2.</t>
  </si>
  <si>
    <t>3.</t>
  </si>
  <si>
    <t>4.</t>
  </si>
  <si>
    <t>5.</t>
  </si>
  <si>
    <t>6.</t>
  </si>
  <si>
    <t>Total Level 1 State and Local Costs (A X B)</t>
  </si>
  <si>
    <t>Level 2 Eligible Local Revenue</t>
  </si>
  <si>
    <t>A.</t>
  </si>
  <si>
    <t>B.</t>
  </si>
  <si>
    <t>C.</t>
  </si>
  <si>
    <t>D.</t>
  </si>
  <si>
    <t>E.</t>
  </si>
  <si>
    <t>G.</t>
  </si>
  <si>
    <t>M.</t>
  </si>
  <si>
    <t xml:space="preserve">TOTAL </t>
  </si>
  <si>
    <t>MFP Formula Items</t>
  </si>
  <si>
    <t xml:space="preserve">Economy-of-Scale Weight Factor </t>
  </si>
  <si>
    <t>Total Local Revenues in MFP</t>
  </si>
  <si>
    <t>Average Equivalent Millage Rate</t>
  </si>
  <si>
    <t>Average Equivalent Sales Tax Rate</t>
  </si>
  <si>
    <t>Property Tax Revenue</t>
  </si>
  <si>
    <t>Sales Tax Revenue</t>
  </si>
  <si>
    <t>7.</t>
  </si>
  <si>
    <t>Other Revenues Considered</t>
  </si>
  <si>
    <t>LEA</t>
  </si>
  <si>
    <t xml:space="preserve">cols. + 2+  3 + 4 + 5 + 6 </t>
  </si>
  <si>
    <t>AFR kpc 63320 col. 5</t>
  </si>
  <si>
    <t>if col 1 is less than 7500, then 7500 less col 1, otherwise 0</t>
  </si>
  <si>
    <t>col 6a / 37,500 max of 20% (7,500/37,500)</t>
  </si>
  <si>
    <t>col. 6b x  col. 1</t>
  </si>
  <si>
    <t>col. 8 x col. 9</t>
  </si>
  <si>
    <t>col. 1 + col. 7</t>
  </si>
  <si>
    <t>School</t>
  </si>
  <si>
    <t>Mandated Cost Adjustment ($100)</t>
  </si>
  <si>
    <t>Rank</t>
  </si>
  <si>
    <t>Level 3 State Funding for Foreign Associate Teachers</t>
  </si>
  <si>
    <t>St. John the Baptist</t>
  </si>
  <si>
    <t>MFP Simulation Summary (6-11-07)</t>
  </si>
  <si>
    <t>F.</t>
  </si>
  <si>
    <t>Table 3, total of col.33</t>
  </si>
  <si>
    <t>R.S. 17:350.21 Lab School Funding</t>
  </si>
  <si>
    <t>TABLE 1: STATE LEVEL COMPARISON</t>
  </si>
  <si>
    <t xml:space="preserve">
COMPUTED SALES 
TAX BASE
 PERCENT CHANGE</t>
  </si>
  <si>
    <t xml:space="preserve">Economy-of-Scale 
Weighted 
Add-On Units </t>
  </si>
  <si>
    <t>ELIGIBLE
 LOCAL REVENUE
 LEVEL 2</t>
  </si>
  <si>
    <t xml:space="preserve"> Local Deduction (Property, Sales &amp; Other Revenue)(continued)</t>
  </si>
  <si>
    <t>For Information Only</t>
  </si>
  <si>
    <t>Central Community</t>
  </si>
  <si>
    <t>% Change</t>
  </si>
  <si>
    <t xml:space="preserve">TOTAL
LEVEL 1
COSTS </t>
  </si>
  <si>
    <t xml:space="preserve">Local Revenue
 Limit on 
Level 2 State Support </t>
  </si>
  <si>
    <t>MFP 
State Average
 Per Pupil (L1,L2+L3)</t>
  </si>
  <si>
    <t>Projected Yield of Sales Tax Rate of</t>
  </si>
  <si>
    <t xml:space="preserve">Projected Yield of Property Tax Millage Rate of </t>
  </si>
  <si>
    <t>11a</t>
  </si>
  <si>
    <t>3a</t>
  </si>
  <si>
    <t>3b</t>
  </si>
  <si>
    <t>3c</t>
  </si>
  <si>
    <t>Hold Harmless (Total)</t>
  </si>
  <si>
    <t>TOTAL AD VALOREM TAXES
(NON DEBT)</t>
  </si>
  <si>
    <t xml:space="preserve">Rank
</t>
  </si>
  <si>
    <t>Local Revenue as Percent of Total State and Local</t>
  </si>
  <si>
    <t>Table 6:  Calculation of the Local Deduction</t>
  </si>
  <si>
    <t>Per Pupil based on February 1 Membership</t>
  </si>
  <si>
    <t>Remaining
Hold 
Harmless
(FY2007/08)</t>
  </si>
  <si>
    <t>Total Net Assessed Property (capped at 10%)</t>
  </si>
  <si>
    <t>Total Est. Sales Tax Base (capped at 15%)</t>
  </si>
  <si>
    <t xml:space="preserve">Level 2 State Support </t>
  </si>
  <si>
    <t xml:space="preserve">Weighted
Add-On 
Students
Gifted/Talented </t>
  </si>
  <si>
    <t xml:space="preserve">Total Weighted 
Add-On 
Students
and/or Units </t>
  </si>
  <si>
    <t xml:space="preserve">Total 
Weighted
Membership
and/or Units </t>
  </si>
  <si>
    <t>DIST. 
REVENUE 
AMOUNT</t>
  </si>
  <si>
    <t>Stipend for First Year Foreign Associate Teachers</t>
  </si>
  <si>
    <t>Stipend for Second and Third Year Foreign Associate Teachers</t>
  </si>
  <si>
    <t>for Livingston</t>
  </si>
  <si>
    <t>ECONOMY-
OF-SCALE 
PERCENT 
SUPPORT</t>
  </si>
  <si>
    <t>ECONOMY-OF-SCALE:
If &lt; 7500, then 
7500 less 
February
Membership</t>
  </si>
  <si>
    <t>*</t>
  </si>
  <si>
    <t>Total Revenue 
(for Use in MFP Level 1 and 2)</t>
  </si>
  <si>
    <t>Local Deduction (Property, Sales &amp; Other Revenue)</t>
  </si>
  <si>
    <t>Other Revenue</t>
  </si>
  <si>
    <t>(actual revenues using rates)</t>
  </si>
  <si>
    <t>local deduct percentage calculation</t>
  </si>
  <si>
    <r>
      <t>LSU</t>
    </r>
    <r>
      <rPr>
        <sz val="10"/>
        <rFont val="Arial"/>
        <family val="2"/>
      </rPr>
      <t xml:space="preserve">
Lab. School</t>
    </r>
  </si>
  <si>
    <r>
      <t>Southern Univ.</t>
    </r>
    <r>
      <rPr>
        <sz val="10"/>
        <rFont val="Arial"/>
        <family val="2"/>
      </rPr>
      <t xml:space="preserve">
Lab. School</t>
    </r>
  </si>
  <si>
    <t>School
System</t>
  </si>
  <si>
    <t>Adjustments Due to Student, 
CAFR/AFR and PEP Audits</t>
  </si>
  <si>
    <t>Due 
District
(+)</t>
  </si>
  <si>
    <t>Due 
State
(-)</t>
  </si>
  <si>
    <t>Per Pupil 
Amount</t>
  </si>
  <si>
    <t xml:space="preserve">Actual 
Sales and Property
Tax Revenues
(Including Debt) 
Plus Other Revenue </t>
  </si>
  <si>
    <t xml:space="preserve">Local Revenue
Over
Level 1 </t>
  </si>
  <si>
    <t xml:space="preserve">Local Revenue 
Under Level 1 </t>
  </si>
  <si>
    <t>Per Pupil
Amount</t>
  </si>
  <si>
    <t>Plus/(Minus) Prior Year Adjustments - LSU/SU Lab Schools</t>
  </si>
  <si>
    <t>Total Type 5 Charters 
East Baton Rouge Parish</t>
  </si>
  <si>
    <t>Total Type 5 Charters 
Caddo Parish</t>
  </si>
  <si>
    <t>Total RSD LA</t>
  </si>
  <si>
    <t>See
Table 2</t>
  </si>
  <si>
    <t>Total 
Local Deduction
(sales,prop,
other)</t>
  </si>
  <si>
    <r>
      <t xml:space="preserve">N.O. College Prep Academies
</t>
    </r>
    <r>
      <rPr>
        <sz val="11"/>
        <rFont val="Futura Lt BT"/>
        <family val="2"/>
      </rPr>
      <t>(N. O. College Prep /S. Williams)</t>
    </r>
  </si>
  <si>
    <r>
      <t xml:space="preserve">Broadmoor Charter
</t>
    </r>
    <r>
      <rPr>
        <sz val="11"/>
        <rFont val="Futura Lt BT"/>
        <family val="2"/>
      </rPr>
      <t xml:space="preserve"> (Andrew H. Wilson/Mc #7)</t>
    </r>
  </si>
  <si>
    <r>
      <t xml:space="preserve">KIPP New Orleans
</t>
    </r>
    <r>
      <rPr>
        <sz val="11"/>
        <rFont val="Futura Lt BT"/>
        <family val="2"/>
      </rPr>
      <t>(KIPP Central City Academy)</t>
    </r>
  </si>
  <si>
    <r>
      <t xml:space="preserve">KIPP New Orleans
</t>
    </r>
    <r>
      <rPr>
        <sz val="11"/>
        <rFont val="Futura Lt BT"/>
        <family val="2"/>
      </rPr>
      <t>(Edward Phillips/Kipp Believe)</t>
    </r>
  </si>
  <si>
    <r>
      <t xml:space="preserve">KIPP New Orleans
</t>
    </r>
    <r>
      <rPr>
        <sz val="11"/>
        <rFont val="Futura Lt BT"/>
        <family val="2"/>
      </rPr>
      <t>(McDonogh #15)</t>
    </r>
  </si>
  <si>
    <r>
      <t xml:space="preserve">Instititute of Academic Excellence,
</t>
    </r>
    <r>
      <rPr>
        <sz val="11"/>
        <rFont val="Futura Lt BT"/>
        <family val="2"/>
      </rPr>
      <t>SUNO  (Sophie B. Wright)</t>
    </r>
  </si>
  <si>
    <r>
      <t xml:space="preserve">Algiers Charter School Assoc. 
</t>
    </r>
    <r>
      <rPr>
        <sz val="11"/>
        <rFont val="Futura Lt BT"/>
        <family val="2"/>
      </rPr>
      <t>(ACSA Tech High at Rosenwald)</t>
    </r>
  </si>
  <si>
    <r>
      <t xml:space="preserve">Algiers Charter School Assoc. 
</t>
    </r>
    <r>
      <rPr>
        <sz val="11"/>
        <rFont val="Futura Lt BT"/>
        <family val="2"/>
      </rPr>
      <t>(Martin Behrman)</t>
    </r>
  </si>
  <si>
    <r>
      <t xml:space="preserve">Algiers Charter School Assoc. 
</t>
    </r>
    <r>
      <rPr>
        <sz val="11"/>
        <rFont val="Futura Lt BT"/>
        <family val="2"/>
      </rPr>
      <t>(Dwight D. Eisenhower)</t>
    </r>
  </si>
  <si>
    <r>
      <t xml:space="preserve">Algiers Charter School Assoc. 
</t>
    </r>
    <r>
      <rPr>
        <sz val="11"/>
        <rFont val="Futura Lt BT"/>
        <family val="2"/>
      </rPr>
      <t>(William J. Fischer)</t>
    </r>
  </si>
  <si>
    <r>
      <t xml:space="preserve">Algiers Charter School Assoc.
</t>
    </r>
    <r>
      <rPr>
        <sz val="11"/>
        <rFont val="Futura Lt BT"/>
        <family val="2"/>
      </rPr>
      <t xml:space="preserve"> (McDonogh #32)</t>
    </r>
  </si>
  <si>
    <r>
      <t xml:space="preserve">Algiers Charter School Assoc.
</t>
    </r>
    <r>
      <rPr>
        <sz val="11"/>
        <rFont val="Futura Lt BT"/>
        <family val="2"/>
      </rPr>
      <t>(O. P. Walker Sr. High)</t>
    </r>
  </si>
  <si>
    <r>
      <t xml:space="preserve">Choice Foundation
</t>
    </r>
    <r>
      <rPr>
        <sz val="11"/>
        <rFont val="Futura Lt BT"/>
        <family val="2"/>
      </rPr>
      <t>(Lafayette Academy)</t>
    </r>
  </si>
  <si>
    <r>
      <t xml:space="preserve">New Orleans Charter School Fdtn.
</t>
    </r>
    <r>
      <rPr>
        <sz val="11"/>
        <rFont val="Futura Lt BT"/>
        <family val="2"/>
      </rPr>
      <t xml:space="preserve"> (Mc #28 City Park)</t>
    </r>
  </si>
  <si>
    <r>
      <t xml:space="preserve">Friends of King 
</t>
    </r>
    <r>
      <rPr>
        <sz val="11"/>
        <rFont val="Futura Lt BT"/>
        <family val="2"/>
      </rPr>
      <t>(Martin Luther King Elem.)</t>
    </r>
  </si>
  <si>
    <r>
      <t xml:space="preserve">New Beginnings, UNO 
</t>
    </r>
    <r>
      <rPr>
        <sz val="11"/>
        <rFont val="Futura Lt BT"/>
        <family val="2"/>
      </rPr>
      <t>(Medard Nelson)</t>
    </r>
  </si>
  <si>
    <r>
      <t xml:space="preserve">New Beginnings, UNO 
</t>
    </r>
    <r>
      <rPr>
        <sz val="11"/>
        <rFont val="Futura Lt BT"/>
        <family val="2"/>
      </rPr>
      <t>(Capdau without Early College H.S.)</t>
    </r>
  </si>
  <si>
    <t xml:space="preserve">     Prior Year Pay Raise/Insurance Supplements</t>
  </si>
  <si>
    <t xml:space="preserve">     Remaining Hold Harmless</t>
  </si>
  <si>
    <t xml:space="preserve">     Redistribution of Hold Harmless Phase-out</t>
  </si>
  <si>
    <t>Q.</t>
  </si>
  <si>
    <t>Total OPSB + RSD + DOE</t>
  </si>
  <si>
    <t>Total EBR Parish + 
RSD Charters</t>
  </si>
  <si>
    <t>Plus/(Minus) Prior Year Adjustments - RSD</t>
  </si>
  <si>
    <t>Mid-Year - Normal Student Growth</t>
  </si>
  <si>
    <t>R.</t>
  </si>
  <si>
    <t>001</t>
  </si>
  <si>
    <t>003</t>
  </si>
  <si>
    <t>004</t>
  </si>
  <si>
    <t>006</t>
  </si>
  <si>
    <t>007</t>
  </si>
  <si>
    <t>008</t>
  </si>
  <si>
    <t>009</t>
  </si>
  <si>
    <t>010</t>
  </si>
  <si>
    <t>011</t>
  </si>
  <si>
    <t>017</t>
  </si>
  <si>
    <t>019</t>
  </si>
  <si>
    <t>021</t>
  </si>
  <si>
    <t>022</t>
  </si>
  <si>
    <t>023</t>
  </si>
  <si>
    <t>024</t>
  </si>
  <si>
    <t>025</t>
  </si>
  <si>
    <t>026</t>
  </si>
  <si>
    <t>028</t>
  </si>
  <si>
    <t>029</t>
  </si>
  <si>
    <t>031</t>
  </si>
  <si>
    <t>032</t>
  </si>
  <si>
    <t>034</t>
  </si>
  <si>
    <t>035</t>
  </si>
  <si>
    <t>036</t>
  </si>
  <si>
    <t>037</t>
  </si>
  <si>
    <t>038</t>
  </si>
  <si>
    <t>039</t>
  </si>
  <si>
    <t>040</t>
  </si>
  <si>
    <t>042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</si>
  <si>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</si>
  <si>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</si>
  <si>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</si>
  <si>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</si>
  <si>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</si>
  <si>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</si>
  <si>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</si>
  <si>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</si>
  <si>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</si>
  <si>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</si>
  <si>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055</t>
  </si>
  <si>
    <t>056</t>
  </si>
  <si>
    <t>057</t>
  </si>
  <si>
    <t>059</t>
  </si>
  <si>
    <t>061</t>
  </si>
  <si>
    <t>065</t>
  </si>
  <si>
    <t>066</t>
  </si>
  <si>
    <t>068</t>
  </si>
  <si>
    <t>TIF Revenues</t>
  </si>
  <si>
    <r>
      <t xml:space="preserve">New Beginnings, UNO
</t>
    </r>
    <r>
      <rPr>
        <sz val="11"/>
        <rFont val="Futura Lt BT"/>
        <family val="2"/>
      </rPr>
      <t>(Thurgood Marshall Early College HS)</t>
    </r>
  </si>
  <si>
    <r>
      <t xml:space="preserve">Miller-McCoy Academy
</t>
    </r>
    <r>
      <rPr>
        <sz val="11"/>
        <rFont val="Futura Lt BT"/>
        <family val="2"/>
      </rPr>
      <t>(Miller-McCoy Academy)</t>
    </r>
  </si>
  <si>
    <r>
      <t>KIPP New Orleans, Inc.
(</t>
    </r>
    <r>
      <rPr>
        <sz val="11"/>
        <rFont val="Futura Lt BT"/>
        <family val="2"/>
      </rPr>
      <t>Kipp Renaissance High School)</t>
    </r>
  </si>
  <si>
    <r>
      <t xml:space="preserve">KIPP New Orleans, Inc.
</t>
    </r>
    <r>
      <rPr>
        <sz val="11"/>
        <rFont val="Futura Lt BT"/>
        <family val="2"/>
      </rPr>
      <t>Kipp N. O. Leadership Academy)</t>
    </r>
  </si>
  <si>
    <r>
      <t xml:space="preserve">KIPP New Orleans, Inc.
</t>
    </r>
    <r>
      <rPr>
        <sz val="11"/>
        <rFont val="Futura Lt BT"/>
        <family val="2"/>
      </rPr>
      <t>(Kipp Central City Primary)</t>
    </r>
  </si>
  <si>
    <t>Firstline Schools, Inc.
(Samuel J. Green)</t>
  </si>
  <si>
    <r>
      <t xml:space="preserve">Firstline Schools, Inc.
</t>
    </r>
    <r>
      <rPr>
        <sz val="11"/>
        <rFont val="Futura Lt BT"/>
        <family val="2"/>
      </rPr>
      <t>(N. O. Charter Middle at Ashe)</t>
    </r>
  </si>
  <si>
    <r>
      <t xml:space="preserve">Firstline Schools, Inc.
</t>
    </r>
    <r>
      <rPr>
        <sz val="11"/>
        <rFont val="Futura Lt BT"/>
        <family val="2"/>
      </rPr>
      <t>(Dibert School)</t>
    </r>
  </si>
  <si>
    <r>
      <t xml:space="preserve">ReNew Schools
</t>
    </r>
    <r>
      <rPr>
        <sz val="11"/>
        <rFont val="Futura Lt BT"/>
        <family val="2"/>
      </rPr>
      <t>(Live Oak Elementary)</t>
    </r>
  </si>
  <si>
    <r>
      <t xml:space="preserve">ReNew Schools
</t>
    </r>
    <r>
      <rPr>
        <sz val="11"/>
        <rFont val="Futura Lt BT"/>
        <family val="2"/>
      </rPr>
      <t>(Laurel Elementary)</t>
    </r>
  </si>
  <si>
    <r>
      <t xml:space="preserve">Pelican Foundation
</t>
    </r>
    <r>
      <rPr>
        <sz val="11"/>
        <rFont val="Arial"/>
        <family val="2"/>
      </rPr>
      <t>(Kenilworth Middle)</t>
    </r>
  </si>
  <si>
    <r>
      <t xml:space="preserve">Shreveport Charter, Inc.
</t>
    </r>
    <r>
      <rPr>
        <sz val="11"/>
        <rFont val="Arial"/>
        <family val="2"/>
      </rPr>
      <t>(Linwood M iddle)</t>
    </r>
  </si>
  <si>
    <t>L.</t>
  </si>
  <si>
    <t>Office of Juvenile Justice</t>
  </si>
  <si>
    <t>SCHOOL 
SYSTEM</t>
  </si>
  <si>
    <t>Per Pupil Amount
Adjusted for
 Year-Round
School</t>
  </si>
  <si>
    <t>Per Pupil Amount
Adjusted for
 Year-Round
School and 
50% Special Ed</t>
  </si>
  <si>
    <t>MFP 
Budget Ltr</t>
  </si>
  <si>
    <t>col 2 X 1.3164</t>
  </si>
  <si>
    <t>col 3 + $1,470</t>
  </si>
  <si>
    <t>col 1 X col 4</t>
  </si>
  <si>
    <t>MFP
Budget Ltr</t>
  </si>
  <si>
    <t>Includes Continuation of FY2007/08 and FY08-09 Pay Raise</t>
  </si>
  <si>
    <t>**</t>
  </si>
  <si>
    <t>State Average is used in the calculation of students with prior residency of "Out of State" or "Unknown"</t>
  </si>
  <si>
    <t xml:space="preserve">Note:  </t>
  </si>
  <si>
    <t>The State may have to fund the local portion of students identified as being from out of the state</t>
  </si>
  <si>
    <t xml:space="preserve">Increase 
Cost 
Adjustment </t>
  </si>
  <si>
    <t>Continuation of
Prior Year
Pay Raises</t>
  </si>
  <si>
    <t>Continuation of Prior Year Pay Raises</t>
  </si>
  <si>
    <t>Continuation 
of
Prior Year
Pay Raises</t>
  </si>
  <si>
    <t>Mandated Cost 
Adjustment</t>
  </si>
  <si>
    <t>Continuation 
of 
Prior Year
Pay 
Raises</t>
  </si>
  <si>
    <t>Continuation of Prior Year 
Pay Raises</t>
  </si>
  <si>
    <t>Prior Year Pay Raises (FY01-02 through FY08-09)</t>
  </si>
  <si>
    <t xml:space="preserve">
Continuation
of
Prior Year 
Pay Raises
(FY2001-02 
through
FY2008-09)
Per Pupil
Amount</t>
  </si>
  <si>
    <t>Continuation
of Prior Year 
Pay Raises
(FY2001-02 
through
FY2008-09)
Per Pupil
Amount</t>
  </si>
  <si>
    <t>Continuation
of
Prior Year 
Pay Raises
(FY2001-02 
through
FY2008-09)
Per Pupil
Amount</t>
  </si>
  <si>
    <r>
      <t xml:space="preserve">New Beginnings, UNO
</t>
    </r>
    <r>
      <rPr>
        <sz val="11"/>
        <rFont val="Futura Lt BT"/>
        <family val="2"/>
      </rPr>
      <t>Gentilly Terrace Charter School</t>
    </r>
  </si>
  <si>
    <r>
      <t xml:space="preserve">Continuation of Prior Year Pay Raises
</t>
    </r>
    <r>
      <rPr>
        <b/>
        <sz val="10"/>
        <color indexed="18"/>
        <rFont val="Arial"/>
        <family val="2"/>
      </rPr>
      <t>(2001-02 Certificated, 2002-03 Support Worker, 
2006-07 Certificated and Support Worker,
2007-08 Certificated and Support Worker, and
FY2008-09 Certificated)</t>
    </r>
  </si>
  <si>
    <r>
      <t xml:space="preserve">
Level 3 State 
Funding 
</t>
    </r>
    <r>
      <rPr>
        <b/>
        <sz val="10"/>
        <color indexed="10"/>
        <rFont val="Arial"/>
        <family val="2"/>
      </rPr>
      <t xml:space="preserve">without
</t>
    </r>
    <r>
      <rPr>
        <b/>
        <sz val="10"/>
        <color indexed="18"/>
        <rFont val="Arial"/>
        <family val="2"/>
      </rPr>
      <t>Continuation 
of Prior Year
Pay Raises</t>
    </r>
  </si>
  <si>
    <r>
      <t xml:space="preserve">
Level 3 
State 
Funding
</t>
    </r>
    <r>
      <rPr>
        <b/>
        <sz val="10"/>
        <color indexed="10"/>
        <rFont val="Arial"/>
        <family val="2"/>
      </rPr>
      <t xml:space="preserve">with 
Continuation of
 Prior Year
Pay Raises </t>
    </r>
  </si>
  <si>
    <t>State Funds 
(with Continuation of Prior Year Pay Raises)
as Percent 
of Total State
and Local</t>
  </si>
  <si>
    <t>Without Continuation of Prior Year Pay Raises</t>
  </si>
  <si>
    <t>With Continuation of Prior Year Pay Raises</t>
  </si>
  <si>
    <t>Total Students Funded through the MFP</t>
  </si>
  <si>
    <t xml:space="preserve">     LSU and Southern Lab Schools</t>
  </si>
  <si>
    <t xml:space="preserve">     Office of Juvenile Justice</t>
  </si>
  <si>
    <t>Plus/(Minus) Prior Year Adjustments - City/Parish Schools</t>
  </si>
  <si>
    <t>Total Pointe Coupee
Parish + RSD Charters</t>
  </si>
  <si>
    <t>Total Caddo Parish + RSD Charters</t>
  </si>
  <si>
    <t>Total St. Helena Parish
+ RSD LA Operated</t>
  </si>
  <si>
    <t>RSD LA Operated
St. Helena Central Middle</t>
  </si>
  <si>
    <t xml:space="preserve">LSU Lab. School </t>
  </si>
  <si>
    <r>
      <t>Southern Univ. Lab. School</t>
    </r>
    <r>
      <rPr>
        <sz val="12"/>
        <rFont val="Arial Narrow"/>
        <family val="2"/>
      </rPr>
      <t xml:space="preserve"> </t>
    </r>
  </si>
  <si>
    <r>
      <t xml:space="preserve">Spirit of Excellence Academy
</t>
    </r>
    <r>
      <rPr>
        <sz val="11"/>
        <rFont val="Futura Lt BT"/>
        <family val="2"/>
      </rPr>
      <t>(Spirit of Exc. Academy)(Harney)</t>
    </r>
  </si>
  <si>
    <t xml:space="preserve">Other Local School System Funding </t>
  </si>
  <si>
    <r>
      <t xml:space="preserve">State </t>
    </r>
    <r>
      <rPr>
        <b/>
        <sz val="10"/>
        <color indexed="18"/>
        <rFont val="Arial"/>
        <family val="2"/>
      </rPr>
      <t xml:space="preserve">
Admin 
Fee to
Dept. of
Education
(.25%)</t>
    </r>
  </si>
  <si>
    <t>Total 
State 
Allocation 
minus Admin.
Fee 
+/- Audit
Adjustments</t>
  </si>
  <si>
    <r>
      <rPr>
        <b/>
        <sz val="10"/>
        <color indexed="18"/>
        <rFont val="Arial"/>
        <family val="2"/>
      </rPr>
      <t>Local</t>
    </r>
    <r>
      <rPr>
        <b/>
        <sz val="10"/>
        <color indexed="18"/>
        <rFont val="Arial"/>
        <family val="2"/>
      </rPr>
      <t xml:space="preserve">
Admin 
Fee to
</t>
    </r>
    <r>
      <rPr>
        <b/>
        <sz val="10"/>
        <color indexed="18"/>
        <rFont val="Arial"/>
        <family val="2"/>
      </rPr>
      <t>Dept.</t>
    </r>
    <r>
      <rPr>
        <b/>
        <sz val="10"/>
        <color indexed="18"/>
        <rFont val="Arial"/>
        <family val="2"/>
      </rPr>
      <t xml:space="preserve"> of
Education
(.25%)</t>
    </r>
  </si>
  <si>
    <t>L
E
A</t>
  </si>
  <si>
    <t>Redistribution
of Hold Harmless 
Phase-out
(FY2007/08 - FY2011/12)</t>
  </si>
  <si>
    <t>LA School for Math, Science &amp; the Arts (LSMSA)</t>
  </si>
  <si>
    <t xml:space="preserve">     LA School for Math, Science and the Arts (LSMSA)</t>
  </si>
  <si>
    <t xml:space="preserve">     New Orleans Center for Creative Arts (NOCCA)</t>
  </si>
  <si>
    <t>New Orleans Center for Creative Arts (NOCCA)(full-day students)</t>
  </si>
  <si>
    <r>
      <t xml:space="preserve">Arise Academy
</t>
    </r>
    <r>
      <rPr>
        <sz val="11"/>
        <rFont val="Futura Lt BT"/>
        <family val="2"/>
      </rPr>
      <t>(Arise Academy)</t>
    </r>
  </si>
  <si>
    <t>Success Preparatory Academy
(Success Prep)</t>
  </si>
  <si>
    <r>
      <t xml:space="preserve">Choice Foundation 
</t>
    </r>
    <r>
      <rPr>
        <sz val="11"/>
        <rFont val="Futura Lt BT"/>
        <family val="2"/>
      </rPr>
      <t>(Esperanza/Crossman)</t>
    </r>
  </si>
  <si>
    <r>
      <t>RSD LA Operated
(</t>
    </r>
    <r>
      <rPr>
        <sz val="11"/>
        <rFont val="Arial"/>
        <family val="2"/>
      </rPr>
      <t>Linear Middle)</t>
    </r>
  </si>
  <si>
    <t>3960xx</t>
  </si>
  <si>
    <t>036xxx</t>
  </si>
  <si>
    <t>Per SIS</t>
  </si>
  <si>
    <t>State Admin Fee</t>
  </si>
  <si>
    <t>Admin.
Fee
to
RSD</t>
  </si>
  <si>
    <t>Admin.
Fee
to 
LDOE</t>
  </si>
  <si>
    <t>Total
Admin.  
Fee</t>
  </si>
  <si>
    <t>Site
Code</t>
  </si>
  <si>
    <t>Local Admin Fee</t>
  </si>
  <si>
    <t>RSD Operated (Orleans Only)</t>
  </si>
  <si>
    <t>orleans decreased 54,750</t>
  </si>
  <si>
    <t>8.</t>
  </si>
  <si>
    <t>V.</t>
  </si>
  <si>
    <t>First Year Non-Legacy Type 2 Charter Schools</t>
  </si>
  <si>
    <t>* does not include First Year Non-Legacy Type 2 Charters</t>
  </si>
  <si>
    <t>Non-Legacy Type 2 Charters (Not 1st Year)</t>
  </si>
  <si>
    <t>ReNew Schools*
(K-8 Charter School/Sarah Reed)</t>
  </si>
  <si>
    <t xml:space="preserve">     Years 1 - 4/Years 1 - 5 Reduction of Remaining Hold Harmless</t>
  </si>
  <si>
    <t xml:space="preserve">Legacy Type 2 Charter Schools </t>
  </si>
  <si>
    <t>Plus/(Minus) Prior Year Adjustments - Non-Legacy Type 2 Charters</t>
  </si>
  <si>
    <t>Calculation for Prior Year Pay Raises</t>
  </si>
  <si>
    <r>
      <t xml:space="preserve">LA Dept. of Education
</t>
    </r>
    <r>
      <rPr>
        <sz val="12"/>
        <rFont val="Arial"/>
        <family val="2"/>
      </rPr>
      <t>Administrative Fee (.25%)</t>
    </r>
  </si>
  <si>
    <r>
      <t xml:space="preserve">RSD LA
</t>
    </r>
    <r>
      <rPr>
        <sz val="12"/>
        <rFont val="Arial"/>
        <family val="2"/>
      </rPr>
      <t>Administrative Fee (1.75%)</t>
    </r>
  </si>
  <si>
    <t>Firstline Schools, Inc.*
(Firstline H.S. Charter)(Clark)</t>
  </si>
  <si>
    <t>N/A</t>
  </si>
  <si>
    <t>Greater Gentilly H.S.</t>
  </si>
  <si>
    <r>
      <t xml:space="preserve">
 State 
Per Pupil 
Levels
1, 2 &amp; 3
</t>
    </r>
    <r>
      <rPr>
        <sz val="10"/>
        <color indexed="18"/>
        <rFont val="Arial"/>
        <family val="2"/>
      </rPr>
      <t>(90%)</t>
    </r>
    <r>
      <rPr>
        <b/>
        <sz val="10"/>
        <color indexed="18"/>
        <rFont val="Arial"/>
        <family val="2"/>
      </rPr>
      <t xml:space="preserve">
(per Budget 
Letter)</t>
    </r>
  </si>
  <si>
    <r>
      <t xml:space="preserve">Continuation
of
Prior Year
Pay 
Raises
</t>
    </r>
    <r>
      <rPr>
        <sz val="10"/>
        <color indexed="18"/>
        <rFont val="Arial"/>
        <family val="2"/>
      </rPr>
      <t>(90%)</t>
    </r>
  </si>
  <si>
    <t>Total LAVCA</t>
  </si>
  <si>
    <t>TOTAL LAVCA and
LA Dept. of Education</t>
  </si>
  <si>
    <t>LA. Dept. of Ed. Admin Fee</t>
  </si>
  <si>
    <t>TOTAL LA Connections &amp;
LA Dept. of Education</t>
  </si>
  <si>
    <t xml:space="preserve">Total LA Connections </t>
  </si>
  <si>
    <r>
      <t xml:space="preserve">July ONLY:
Local
Admin Fee
Payable 
to DOE
(.25%)
RSD LA
</t>
    </r>
    <r>
      <rPr>
        <sz val="10"/>
        <color indexed="18"/>
        <rFont val="Arial"/>
        <family val="2"/>
      </rPr>
      <t>(Table 5B-2,
column 17)</t>
    </r>
  </si>
  <si>
    <r>
      <t xml:space="preserve">July ONLY:
Local
Admin Fee
Payable 
to RSD
(1.75%)
RSD LA
</t>
    </r>
    <r>
      <rPr>
        <sz val="10"/>
        <color indexed="18"/>
        <rFont val="Arial"/>
        <family val="2"/>
      </rPr>
      <t>(Table 5B-2,
column 16)</t>
    </r>
  </si>
  <si>
    <t>ReNew Schools*
(ReNew Accel. H.S., City Park)</t>
  </si>
  <si>
    <t>ReNew Schools*
(ReNew Accel. H.S., West Bank)</t>
  </si>
  <si>
    <t>deduct</t>
  </si>
  <si>
    <t>for TIF</t>
  </si>
  <si>
    <t>in Livingston</t>
  </si>
  <si>
    <t>Continuation
of
Prior
Year
Pay Raises</t>
  </si>
  <si>
    <t>Crescent City Schools, Inc.
(Crescent City School)(Tubman)</t>
  </si>
  <si>
    <t>Comm. Leaders Adv. Student Suc
(Fannie C. Williams)</t>
  </si>
  <si>
    <t>Future is Now
(John McDonogh Senior H.S.)</t>
  </si>
  <si>
    <t>Friends of King
(Joseph A. Craig)</t>
  </si>
  <si>
    <t>Collegiate Academies
(Collegiate Academy 2)</t>
  </si>
  <si>
    <t>N. O. College Prep
(Cohen College Prep)</t>
  </si>
  <si>
    <r>
      <t xml:space="preserve">Choice Foundation (Takeover)
</t>
    </r>
    <r>
      <rPr>
        <sz val="11"/>
        <rFont val="Futura Lt BT"/>
        <family val="2"/>
      </rPr>
      <t xml:space="preserve"> (McDonogh #42)</t>
    </r>
  </si>
  <si>
    <t xml:space="preserve">Local
Admin
Fee
</t>
  </si>
  <si>
    <t>W.</t>
  </si>
  <si>
    <t>X.</t>
  </si>
  <si>
    <t>State
Admin Fee
to the 
Dept. of
Education</t>
  </si>
  <si>
    <t>Local
Admin Fee
to the 
Dept. of
Educaton</t>
  </si>
  <si>
    <t>col 5 + col 6</t>
  </si>
  <si>
    <t>col 7 ÷ 12</t>
  </si>
  <si>
    <t>Y.</t>
  </si>
  <si>
    <t>Z.</t>
  </si>
  <si>
    <t>Transfers</t>
  </si>
  <si>
    <t>1.  RSD</t>
  </si>
  <si>
    <t>2. Non-Legacy Type 2 Charter Transfers (Not 1st Year)</t>
  </si>
  <si>
    <t>NOTE:  RSD Orleans is funded using the RSD's Differentiated Funding Formula for Special Education Students</t>
  </si>
  <si>
    <t>Allocation for Lab Schools</t>
  </si>
  <si>
    <t>321</t>
  </si>
  <si>
    <t>329</t>
  </si>
  <si>
    <t>331</t>
  </si>
  <si>
    <t>333</t>
  </si>
  <si>
    <t>336</t>
  </si>
  <si>
    <t>337</t>
  </si>
  <si>
    <t>339</t>
  </si>
  <si>
    <t>340</t>
  </si>
  <si>
    <t xml:space="preserve">  b.</t>
  </si>
  <si>
    <t xml:space="preserve">  c.</t>
  </si>
  <si>
    <t xml:space="preserve">  d.</t>
  </si>
  <si>
    <t xml:space="preserve">  e.</t>
  </si>
  <si>
    <t xml:space="preserve">  f.</t>
  </si>
  <si>
    <t xml:space="preserve">   a.</t>
  </si>
  <si>
    <t>Ouachita -5,774,612</t>
  </si>
  <si>
    <t>Ouachita + 5,774,612</t>
  </si>
  <si>
    <t>St. James - 12,147</t>
  </si>
  <si>
    <t>St. James - 17,033</t>
  </si>
  <si>
    <t>Out of State</t>
  </si>
  <si>
    <r>
      <t xml:space="preserve">Lagniappe Academies, Inc.
(Lagniappe Academies)
</t>
    </r>
    <r>
      <rPr>
        <sz val="12"/>
        <color rgb="FFFF0000"/>
        <rFont val="Futura Lt BT"/>
        <family val="2"/>
      </rPr>
      <t>Not in a District Building</t>
    </r>
  </si>
  <si>
    <r>
      <t xml:space="preserve">Dryades YMCA
</t>
    </r>
    <r>
      <rPr>
        <sz val="11"/>
        <rFont val="Futura Lt BT"/>
        <family val="2"/>
      </rPr>
      <t xml:space="preserve">(James M. Singleton Charter Middle)
</t>
    </r>
    <r>
      <rPr>
        <sz val="11"/>
        <color rgb="FFFF0000"/>
        <rFont val="Futura Lt BT"/>
        <family val="2"/>
      </rPr>
      <t>Not in a District Building</t>
    </r>
  </si>
  <si>
    <t>Plus/(Minus) Prior Year Adjustments - OJJ</t>
  </si>
  <si>
    <t>col 5 +
 col 13</t>
  </si>
  <si>
    <t>col 8 +
col 16</t>
  </si>
  <si>
    <t>col 15 ÷ 12</t>
  </si>
  <si>
    <t>col 13 + col 14</t>
  </si>
  <si>
    <t>col 1 + col 10</t>
  </si>
  <si>
    <t>col 9 ÷
col 11</t>
  </si>
  <si>
    <t>col 1   X 
col 12</t>
  </si>
  <si>
    <t>Continuation of Prior Year  Pay Raises
(FY2001-02 through
FY2008-09) 
90% Per Pupil
Amount</t>
  </si>
  <si>
    <t>Continuation of Prior Year  Pay Raises
(FY2001-02 through
FY2008-09)  
90% Per Pupil
Amount</t>
  </si>
  <si>
    <t>State MFP Appropriation/Executive Budget</t>
  </si>
  <si>
    <t>Estimated need in excess of MFP Appropriation/Executive Budget</t>
  </si>
  <si>
    <t xml:space="preserve">MFP State Share of Educational Cost 
</t>
  </si>
  <si>
    <t>Continuation
of
Prior
Year
Pay Raises
Per Pupil Amount</t>
  </si>
  <si>
    <t>Educators for Quality Alternatives 
(The NET Charter School)</t>
  </si>
  <si>
    <t>Collegiate Academies
(Collegiate Academy 3)</t>
  </si>
  <si>
    <r>
      <t xml:space="preserve">Firstline Schools, Inc.
</t>
    </r>
    <r>
      <rPr>
        <sz val="11"/>
        <rFont val="Futura Lt BT"/>
        <family val="2"/>
      </rPr>
      <t>(Langston Hughes Academy)</t>
    </r>
  </si>
  <si>
    <r>
      <t xml:space="preserve">Lake Charles Charter Academy
(Lake Charles Charter School Assoc., Inc)
</t>
    </r>
    <r>
      <rPr>
        <sz val="11"/>
        <color indexed="18"/>
        <rFont val="Arial"/>
        <family val="2"/>
      </rPr>
      <t>(Site Code 346001)
(Opened 11/12)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>(Not in a District Building)</t>
    </r>
  </si>
  <si>
    <r>
      <t xml:space="preserve">LA Virtual Charter Academy 
(LAVCA)
(Community School of 
Apprenticeship Learning,)
(CSAL)
</t>
    </r>
    <r>
      <rPr>
        <sz val="11"/>
        <color indexed="18"/>
        <rFont val="Arial"/>
        <family val="2"/>
      </rPr>
      <t>(Site Code 343002)
(Opened 11/12)
(Not in a District Bldg.)</t>
    </r>
  </si>
  <si>
    <r>
      <t xml:space="preserve">Louisiana Connections 
Academy
(Friends of LA Connections Academy)
</t>
    </r>
    <r>
      <rPr>
        <sz val="11"/>
        <color indexed="18"/>
        <rFont val="Arial"/>
        <family val="2"/>
      </rPr>
      <t>(Virtual)
(Site Code 345001)
(Opened 11/12)
(Not in a District Bldg.)</t>
    </r>
  </si>
  <si>
    <r>
      <t xml:space="preserve">J. S. Clark Leadership Academy
(Outreach Community Development Corporation)
</t>
    </r>
    <r>
      <rPr>
        <sz val="10"/>
        <color indexed="18"/>
        <rFont val="Arial"/>
        <family val="2"/>
      </rPr>
      <t>(Site Code 349001)</t>
    </r>
    <r>
      <rPr>
        <b/>
        <sz val="10"/>
        <color indexed="18"/>
        <rFont val="Arial"/>
        <family val="2"/>
      </rPr>
      <t xml:space="preserve">
</t>
    </r>
    <r>
      <rPr>
        <sz val="10"/>
        <color indexed="18"/>
        <rFont val="Arial"/>
        <family val="2"/>
      </rPr>
      <t>(Opened 12/13)</t>
    </r>
    <r>
      <rPr>
        <b/>
        <sz val="10"/>
        <color indexed="18"/>
        <rFont val="Arial"/>
        <family val="2"/>
      </rPr>
      <t xml:space="preserve">
</t>
    </r>
    <r>
      <rPr>
        <sz val="10"/>
        <color indexed="18"/>
        <rFont val="Arial"/>
        <family val="2"/>
      </rPr>
      <t>(Not in a District Building)</t>
    </r>
  </si>
  <si>
    <r>
      <t xml:space="preserve">Lycee Francais de la Nouvelle Orleans
(LFNO, Inc.)
</t>
    </r>
    <r>
      <rPr>
        <sz val="11"/>
        <color indexed="18"/>
        <rFont val="Arial"/>
        <family val="2"/>
      </rPr>
      <t>(Site Code 347001)
(Opened 11/12)
(Not in a District Building)</t>
    </r>
  </si>
  <si>
    <r>
      <t xml:space="preserve">New Orleans Military/Maritime Academy
</t>
    </r>
    <r>
      <rPr>
        <sz val="11"/>
        <color indexed="18"/>
        <rFont val="Arial"/>
        <family val="2"/>
      </rPr>
      <t>(Site Code 348001)
(Opened 11/12)
(Not in a District Building)</t>
    </r>
  </si>
  <si>
    <r>
      <t xml:space="preserve">D'Arbonne Woods Charter School, Inc.
(D'Arbonne Woods Charter)
</t>
    </r>
    <r>
      <rPr>
        <sz val="11"/>
        <color indexed="18"/>
        <rFont val="Arial"/>
        <family val="2"/>
      </rPr>
      <t>(Site Code 341001)
(Opened 09/10)
(Not in a District Building)</t>
    </r>
  </si>
  <si>
    <r>
      <t xml:space="preserve">Madison Prep  Academy 
(CSAL:  Community Schools for Apprenticeship 
Learning)
</t>
    </r>
    <r>
      <rPr>
        <sz val="11"/>
        <color indexed="18"/>
        <rFont val="Arial"/>
        <family val="2"/>
      </rPr>
      <t>(Site Code 343001)
(Opened 09/10)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>(Not in a District Building)</t>
    </r>
  </si>
  <si>
    <r>
      <t xml:space="preserve">RSD Operated
</t>
    </r>
    <r>
      <rPr>
        <sz val="11"/>
        <rFont val="Arial"/>
        <family val="2"/>
      </rPr>
      <t>(Lanier Elementary )</t>
    </r>
  </si>
  <si>
    <t>RSD Operated
(Istrouma High School)</t>
  </si>
  <si>
    <r>
      <t xml:space="preserve">RSD Operated
</t>
    </r>
    <r>
      <rPr>
        <sz val="11"/>
        <rFont val="Arial"/>
        <family val="2"/>
      </rPr>
      <t>(Capitol High School)</t>
    </r>
  </si>
  <si>
    <r>
      <t xml:space="preserve">RSD Operated
</t>
    </r>
    <r>
      <rPr>
        <sz val="11"/>
        <rFont val="Arial"/>
        <family val="2"/>
      </rPr>
      <t>(Dalton Elementary)</t>
    </r>
  </si>
  <si>
    <r>
      <t xml:space="preserve">RSD Operated
</t>
    </r>
    <r>
      <rPr>
        <sz val="11"/>
        <rFont val="Arial"/>
        <family val="2"/>
      </rPr>
      <t>(Prescott Middle)</t>
    </r>
  </si>
  <si>
    <r>
      <t xml:space="preserve">RSD Operated
</t>
    </r>
    <r>
      <rPr>
        <sz val="11"/>
        <rFont val="Arial"/>
        <family val="2"/>
      </rPr>
      <t>(Glen Oaks Middle)</t>
    </r>
  </si>
  <si>
    <r>
      <t xml:space="preserve">RSD Operated
</t>
    </r>
    <r>
      <rPr>
        <sz val="11"/>
        <rFont val="Arial"/>
        <family val="2"/>
      </rPr>
      <t>(Crestworth Middle)</t>
    </r>
  </si>
  <si>
    <r>
      <t xml:space="preserve">Southwest LA Charter Academy
(Southwest LA Charter Academy Foundation, Inc.)
</t>
    </r>
    <r>
      <rPr>
        <sz val="10"/>
        <color indexed="18"/>
        <rFont val="Arial"/>
        <family val="2"/>
      </rPr>
      <t>(Site Code 328001)
(Opened 12/13)
(Not in a District Building)</t>
    </r>
  </si>
  <si>
    <t>N.</t>
  </si>
  <si>
    <r>
      <t xml:space="preserve">Crescent Leadership Academy
</t>
    </r>
    <r>
      <rPr>
        <sz val="10"/>
        <rFont val="Futura Lt BT"/>
        <family val="2"/>
      </rPr>
      <t xml:space="preserve">(Crescent Leadership Acad./Schwarz)
</t>
    </r>
    <r>
      <rPr>
        <sz val="10"/>
        <color rgb="FFFF0000"/>
        <rFont val="Futura Lt BT"/>
        <family val="2"/>
      </rPr>
      <t>Not in a District Building</t>
    </r>
  </si>
  <si>
    <t>Return 
of 
10%
Per Pupil 
Amount 
to State</t>
  </si>
  <si>
    <t>Crescent City Schools, Inc.
(Akili Academy)</t>
  </si>
  <si>
    <r>
      <t xml:space="preserve">MFP State Share of Educational Cost for Youth in Secure Care 
</t>
    </r>
    <r>
      <rPr>
        <b/>
        <sz val="10"/>
        <color indexed="18"/>
        <rFont val="Arial"/>
        <family val="2"/>
      </rPr>
      <t xml:space="preserve">Based on Preliminary FY2011-12 Average Daily Membership (ADM) </t>
    </r>
  </si>
  <si>
    <t>FY2012-13
Budget Letter
July 2012
Circular No. 1148</t>
  </si>
  <si>
    <r>
      <t xml:space="preserve">Initial
Local
Per Pupil
</t>
    </r>
    <r>
      <rPr>
        <sz val="10"/>
        <color indexed="18"/>
        <rFont val="Arial"/>
        <family val="2"/>
      </rPr>
      <t>(per charter law)</t>
    </r>
  </si>
  <si>
    <t>Initial
Local 
Per Pupil 
(90%)
(per Calcul-ation)</t>
  </si>
  <si>
    <r>
      <t xml:space="preserve">
Initial
Local 
Per Pupil 
</t>
    </r>
    <r>
      <rPr>
        <sz val="10"/>
        <color indexed="18"/>
        <rFont val="Arial"/>
        <family val="2"/>
      </rPr>
      <t>(90%)</t>
    </r>
    <r>
      <rPr>
        <b/>
        <sz val="10"/>
        <color indexed="18"/>
        <rFont val="Arial"/>
        <family val="2"/>
      </rPr>
      <t xml:space="preserve">
(per Calcul-ation)</t>
    </r>
  </si>
  <si>
    <r>
      <t xml:space="preserve">Initial
Local
Per Pupil
</t>
    </r>
    <r>
      <rPr>
        <sz val="10"/>
        <color indexed="18"/>
        <rFont val="Arial"/>
        <family val="2"/>
      </rPr>
      <t>(Initial 
per pupil 
amount)</t>
    </r>
  </si>
  <si>
    <r>
      <t xml:space="preserve">Collegiate Academies
</t>
    </r>
    <r>
      <rPr>
        <sz val="10"/>
        <rFont val="Futura Lt BT"/>
        <family val="2"/>
      </rPr>
      <t>(N.O. Charter Science)(Sci Academy)</t>
    </r>
  </si>
  <si>
    <t>subtracted Istrouma from EBR</t>
  </si>
  <si>
    <t>Verification at LEA Level for city/parish District</t>
  </si>
  <si>
    <t>Difference is due to pay raise per pupil amounts for Legacy Type 2 charters</t>
  </si>
  <si>
    <r>
      <rPr>
        <b/>
        <sz val="10"/>
        <color rgb="FF000066"/>
        <rFont val="Arial"/>
        <family val="2"/>
      </rPr>
      <t>City/Parish</t>
    </r>
    <r>
      <rPr>
        <b/>
        <sz val="10"/>
        <color indexed="18"/>
        <rFont val="Arial"/>
        <family val="2"/>
      </rPr>
      <t xml:space="preserve">
Pay Raise
Continuation
Per Pupil 
Amount
</t>
    </r>
  </si>
  <si>
    <t xml:space="preserve">Local
Monthly
Payment
</t>
  </si>
  <si>
    <t xml:space="preserve">Total
State and
Local
Payment
</t>
  </si>
  <si>
    <t xml:space="preserve">Total
State and
Local
Monthly 
Payment
</t>
  </si>
  <si>
    <t xml:space="preserve">Monthly Payment </t>
  </si>
  <si>
    <r>
      <t xml:space="preserve">Total Audit 
Adjustments
</t>
    </r>
    <r>
      <rPr>
        <sz val="10"/>
        <color indexed="18"/>
        <rFont val="Arial"/>
        <family val="2"/>
      </rPr>
      <t>(For City/Parish LEAs only)</t>
    </r>
  </si>
  <si>
    <t>This Table provides the State's funding to the RSD.  The RSD distributes funds to the Type 5 Charter Schools in Orleans Parish using the RSD's Differentiated Funding Formula for Special Education Students.  Refer to correspondence from the RSD for individual school allocations.</t>
  </si>
  <si>
    <r>
      <t xml:space="preserve">July ONLY:
Local
Admin Fee
Payable 
to DOE
(.25%)
D'Arbonne
Woods
</t>
    </r>
    <r>
      <rPr>
        <sz val="10"/>
        <color indexed="18"/>
        <rFont val="Arial"/>
        <family val="2"/>
      </rPr>
      <t>(Table 5C1B,
column 14)</t>
    </r>
  </si>
  <si>
    <t>40.24/17.33</t>
  </si>
  <si>
    <t>1.98%/.85%</t>
  </si>
  <si>
    <t>2a</t>
  </si>
  <si>
    <t>(Prior Year)
2012-13
 COMPUTED SALES TAX BASE
(Without cap)</t>
  </si>
  <si>
    <t>2013-2014
COMPUTED
 SALES TAX 
BASE</t>
  </si>
  <si>
    <t>OTHER REVENUES:  
Includes State and Federal taxes in lieu of &amp; 50% of earnings from 16th section and from other real estate
2011-2012 AFR</t>
  </si>
  <si>
    <t>2011
TOTAL ASSESSED PROPERTY VALUE</t>
  </si>
  <si>
    <t>2011
ASSESSED HOMESTEAD EXEMPTION</t>
  </si>
  <si>
    <t>2011
NET ASSESSED TAXABLE PROPERTY</t>
  </si>
  <si>
    <t xml:space="preserve">  2011 ASSESSED PROPERTY VALUE</t>
  </si>
  <si>
    <t>(Prior Year)
 2010
Net Assessed Taxable Property (Without cap)</t>
  </si>
  <si>
    <t>2011
NET ASSESSED TAXABLE PROPERTY
with Cap of</t>
  </si>
  <si>
    <t>TOTAL 
AD VALOREM 
REVENUE 
INCLUDING DEBT
(2011-2012)</t>
  </si>
  <si>
    <t>TOTAL 
SALES TAX REVENUE
(2011-2012)</t>
  </si>
  <si>
    <t>ReNew Schools
(Schaumberg)</t>
  </si>
  <si>
    <r>
      <t xml:space="preserve">July ONLY:
Local
Admin 
Fee
Payable 
to DOE
(.25%)
LA Key Admy
</t>
    </r>
    <r>
      <rPr>
        <sz val="10"/>
        <color indexed="18"/>
        <rFont val="Arial"/>
        <family val="2"/>
      </rPr>
      <t>(Table 5C1J,
column 14)</t>
    </r>
  </si>
  <si>
    <r>
      <t xml:space="preserve">July ONLY:
Local
Admin 
Fee
Payable 
to DOE
(.25%)
Jefferson Chamber Fdtn
</t>
    </r>
    <r>
      <rPr>
        <sz val="10"/>
        <color indexed="18"/>
        <rFont val="Arial"/>
        <family val="2"/>
      </rPr>
      <t>(Table 5C1K,
column 14)</t>
    </r>
  </si>
  <si>
    <r>
      <t xml:space="preserve">July ONLY:
Local
Admin 
Fee
Payable 
to DOE
(.25%)
Tallulah Charter
</t>
    </r>
    <r>
      <rPr>
        <sz val="10"/>
        <color indexed="18"/>
        <rFont val="Arial"/>
        <family val="2"/>
      </rPr>
      <t>(Table 5C1L,
column 14)</t>
    </r>
  </si>
  <si>
    <r>
      <t xml:space="preserve">July ONLY:
Local
Admin 
Fee
Payable 
to DOE
(.25%)
Northshore Charter
</t>
    </r>
    <r>
      <rPr>
        <sz val="10"/>
        <color indexed="18"/>
        <rFont val="Arial"/>
        <family val="2"/>
      </rPr>
      <t>(Table 5C1M,
column 14)</t>
    </r>
  </si>
  <si>
    <r>
      <t xml:space="preserve">July ONLY:
Local
Admin 
Fee
Payable 
to DOE
(.25%)
EBR Charter
</t>
    </r>
    <r>
      <rPr>
        <sz val="10"/>
        <color indexed="18"/>
        <rFont val="Arial"/>
        <family val="2"/>
      </rPr>
      <t>(Table 5C1N,
column 14)</t>
    </r>
  </si>
  <si>
    <r>
      <t xml:space="preserve">July ONLY:
Local
Admin 
Fee
Payable 
to DOE
(.25%)
Delta Charter
</t>
    </r>
    <r>
      <rPr>
        <sz val="10"/>
        <color indexed="18"/>
        <rFont val="Arial"/>
        <family val="2"/>
      </rPr>
      <t>(Table 5C1P,
column 14)</t>
    </r>
  </si>
  <si>
    <t>July  
2013
Payment
Amount</t>
  </si>
  <si>
    <t>Monthly
Payments
July 2013
through
June 2014</t>
  </si>
  <si>
    <t xml:space="preserve">Prelim
FY2013-14
Foreign 
Language 
Assoc. 
Teacher 
Stipends
</t>
  </si>
  <si>
    <t>Remaining
Hold 
Harmless
(FY2013/14)</t>
  </si>
  <si>
    <t>Foreign Language 
Associates Salaries</t>
  </si>
  <si>
    <t>One-Tenth
(FY13/14)
Reduction of 
Remaining
 Hold Harmless</t>
  </si>
  <si>
    <t>Prior Year
Reduction
of Remaining
Hold Harmless
(FY07/08 thru 
FY12/13)</t>
  </si>
  <si>
    <t>2011
Ad Valorem 
Tax Revenues
(per 11-12 AFR)</t>
  </si>
  <si>
    <t>2011
Net Assessed 
Property
(with 10% Cap)</t>
  </si>
  <si>
    <t>FY2011-12
Sales Tax Revenue
(per 11-12 AFR)</t>
  </si>
  <si>
    <t>FY2011-12
Computed Sales Tax Base with 15% Cap on Growth</t>
  </si>
  <si>
    <t>Comparison of  
FY2012-13
Budget Letter to
FY2013-14
Simulation</t>
  </si>
  <si>
    <t>Total MFP Allocation (I+J+L+M+N+O+P+Q+R+S+T+U+V)</t>
  </si>
  <si>
    <t>MFP Allocation Including Adjustments (W + X)</t>
  </si>
  <si>
    <t>* New Charters in FY2013-14 funded based on projected student count; will be updated to actual 10/1/13 count</t>
  </si>
  <si>
    <t xml:space="preserve">Career &amp; Technical Weight </t>
  </si>
  <si>
    <t xml:space="preserve">Gifted/Talented Weight </t>
  </si>
  <si>
    <t>Level 3 Supplementary Funding</t>
  </si>
  <si>
    <t>Low Income and English Language Learner</t>
  </si>
  <si>
    <t xml:space="preserve">Hold Harmless Enhancement
</t>
  </si>
  <si>
    <r>
      <t>Total
Level 3
Funding</t>
    </r>
    <r>
      <rPr>
        <b/>
        <sz val="10"/>
        <color indexed="18"/>
        <rFont val="Arial"/>
        <family val="2"/>
      </rPr>
      <t xml:space="preserve">
(Without Continuation
of 
Prior Year
Pay Raises)</t>
    </r>
  </si>
  <si>
    <t>Total
Level 3
Funding 
with
Continuation
of Prior Year
Pay Raises</t>
  </si>
  <si>
    <t xml:space="preserve">
Add-on 
Student Units</t>
  </si>
  <si>
    <t xml:space="preserve">
 Add-On 
Student Units</t>
  </si>
  <si>
    <t xml:space="preserve">Feb. 1, 2013
MFP Funded
Membership
(Per SIS)
</t>
  </si>
  <si>
    <r>
      <t xml:space="preserve">Projected
</t>
    </r>
    <r>
      <rPr>
        <b/>
        <sz val="10"/>
        <color rgb="FF000066"/>
        <rFont val="Arial"/>
        <family val="2"/>
      </rPr>
      <t>MFP 
Member-
ship</t>
    </r>
    <r>
      <rPr>
        <b/>
        <sz val="10"/>
        <color indexed="18"/>
        <rFont val="Arial"/>
        <family val="2"/>
      </rPr>
      <t xml:space="preserve">
</t>
    </r>
  </si>
  <si>
    <t xml:space="preserve">
Feb. 1, 2013
MFP Funded
Membership
(Per SIS)
</t>
  </si>
  <si>
    <r>
      <t xml:space="preserve">2.1.13
MFP
Funded Membership
</t>
    </r>
    <r>
      <rPr>
        <sz val="10"/>
        <color indexed="18"/>
        <rFont val="Arial"/>
        <family val="2"/>
      </rPr>
      <t>(Per SIS)</t>
    </r>
  </si>
  <si>
    <t xml:space="preserve">
Feb. 1, 2013
Student Membership </t>
  </si>
  <si>
    <r>
      <t xml:space="preserve">
Feb. 1, 2013
Member-
ship 
(pe</t>
    </r>
    <r>
      <rPr>
        <sz val="10"/>
        <color indexed="18"/>
        <rFont val="Arial"/>
        <family val="2"/>
      </rPr>
      <t>r</t>
    </r>
    <r>
      <rPr>
        <b/>
        <sz val="10"/>
        <color indexed="18"/>
        <rFont val="Arial"/>
        <family val="2"/>
      </rPr>
      <t xml:space="preserve"> SIS)</t>
    </r>
  </si>
  <si>
    <t>Feb. 1, 2013
MFP Funded
Membership
(Per SIS)</t>
  </si>
  <si>
    <r>
      <t xml:space="preserve">Morris Jeff. Community Sch, Inc.
</t>
    </r>
    <r>
      <rPr>
        <sz val="11"/>
        <rFont val="Futura Lt BT"/>
        <family val="2"/>
      </rPr>
      <t xml:space="preserve">(Morris Jeff. Community School)
</t>
    </r>
    <r>
      <rPr>
        <sz val="11"/>
        <color rgb="FFFF0000"/>
        <rFont val="Futura Lt BT"/>
        <family val="2"/>
      </rPr>
      <t>Not in a District Building</t>
    </r>
  </si>
  <si>
    <r>
      <t xml:space="preserve">Number of Foreign Associate Teachers
</t>
    </r>
    <r>
      <rPr>
        <b/>
        <sz val="10"/>
        <rFont val="Arial"/>
        <family val="2"/>
      </rPr>
      <t>2.1.13</t>
    </r>
  </si>
  <si>
    <r>
      <t xml:space="preserve">
CAREER &amp; 
TECHNICAL
 ED UNITS
</t>
    </r>
    <r>
      <rPr>
        <sz val="10"/>
        <color indexed="18"/>
        <rFont val="Arial"/>
        <family val="2"/>
      </rPr>
      <t>(Per LEADS
10-1-12)</t>
    </r>
    <r>
      <rPr>
        <b/>
        <sz val="10"/>
        <color indexed="18"/>
        <rFont val="Arial"/>
        <family val="2"/>
      </rPr>
      <t xml:space="preserve">
</t>
    </r>
  </si>
  <si>
    <r>
      <t xml:space="preserve"> Student Membership Count:  </t>
    </r>
    <r>
      <rPr>
        <b/>
        <sz val="11"/>
        <rFont val="Arial Narrow"/>
        <family val="2"/>
      </rPr>
      <t>Feb. 1, 2012 /  Feb. 1, 2013</t>
    </r>
  </si>
  <si>
    <t xml:space="preserve">Special Education Weight </t>
  </si>
  <si>
    <t>State Cost Allocation (65%)</t>
  </si>
  <si>
    <t>Local Cost Allocation (35%)</t>
  </si>
  <si>
    <t xml:space="preserve">Projected FY2013-2014 MFP Budget Letter </t>
  </si>
  <si>
    <t>Feb. 1, 2013
MFP 
Funded
Membership
(Per SIS)</t>
  </si>
  <si>
    <t>Prior Year Audit Adjustments (Preliminary)</t>
  </si>
  <si>
    <r>
      <t>Audit
Adjustments
FY2012-13
MFP</t>
    </r>
    <r>
      <rPr>
        <sz val="10"/>
        <color indexed="18"/>
        <rFont val="Arial"/>
        <family val="2"/>
      </rPr>
      <t xml:space="preserve">
(Includes 
2/1 midyear
 from 
FY2011-12)</t>
    </r>
  </si>
  <si>
    <t>Minus
State Cost
Allocation
 for
Recovery 
School 
District</t>
  </si>
  <si>
    <t>Minus
State Cost
Allocation
 for
Madison Prep
(CSAL)
(Table 5C1A col. 6)</t>
  </si>
  <si>
    <t>Minus
State Cost
Allocation
 for
D'Arbonne Woods
(Table 5C1B col. 6)</t>
  </si>
  <si>
    <t>Minus
State Cost
Allocation
 for
Int'l H.S.
(VIBE)
(Table 5C1C col. 6)</t>
  </si>
  <si>
    <t>Minus
State Cost
Allocation
 for
N.O.
Military/
Maritime
(Table 5C1D col. 6)</t>
  </si>
  <si>
    <t>Minus
State Cost
Allocation
 for
Lycee Francais
(Table 5C1E col. 6)</t>
  </si>
  <si>
    <t>Minus
State Cost
Allocation
 for
Lake Charles Charter
(Table 5C1F col. 6)</t>
  </si>
  <si>
    <t>Minus
State Cost
Allocation
 for
J.S. Clark Academy
(Table 5C1G col. 6)</t>
  </si>
  <si>
    <t>Minus
State Cost
Allocation
 for
Southwest LA Charter
(Table 5C1H col. 6)</t>
  </si>
  <si>
    <t>Minus
State Cost
Allocation
 for
LAVCA
(Table 5C2 col. 6 + 
col. 7)</t>
  </si>
  <si>
    <t>Minus
State Cost
Allocation
 for
LA Connections
(Table 5C3 col. 6 + 
col. 7)</t>
  </si>
  <si>
    <t>Total
State
Cost 
Allocations
for
Other
Entities</t>
  </si>
  <si>
    <t>Local Cost Allocation
due to
RSD LA
(Table 5B-2
col 15 + 
col 20)</t>
  </si>
  <si>
    <t>Local Cost Allocation
due to
RSD 
Orleans
(Table 5B1
col 9 + col 14)</t>
  </si>
  <si>
    <t>Local Cost Allocation 
due to
Madison 
Prep
(CSAL)
(Table 5C1A,
col 15 + 
col 18)</t>
  </si>
  <si>
    <t>Local Cost Allocation
due to
D'Arbonne
Woods
(Table 5C1B,
col 15 + 
col 18)</t>
  </si>
  <si>
    <t>Local Cost Allocation
due to
Int'l H. S.
(VIBE)
(Table 5C1C,
col 15 + 
col 18)</t>
  </si>
  <si>
    <t>Local Cost Allocation
due to
N.O.
Military/
Maritime
(Table 5C1D,
col 15 + 
col 18)</t>
  </si>
  <si>
    <t>Local Cost Allocation
due to
Lycee
Francais
(Table 5C1E,
col 15 + 
col 18)</t>
  </si>
  <si>
    <t>Local Cost Allocation
due to
Lake 
Charles Academy
(Table 5C1F,
col 15 + 
col 18)</t>
  </si>
  <si>
    <t>Local Cost Allocation
due to
J. S. Clark
Leader-
ship
Academy
(Table 5C1G,
col 15 + col 18)</t>
  </si>
  <si>
    <t>Local Cost Allocation
due to
Southwest
LA
Charter
(Table 5C1H,
col 15 + 
col 18)</t>
  </si>
  <si>
    <t>Local Cost Allocation
due to
LAVCA
(Table 5C-2,
col 14 + 
col 17)</t>
  </si>
  <si>
    <t>Local Cost Allocation
due to
LA 
Connections
(Table 5C-3,
col 14 + 
col 17)</t>
  </si>
  <si>
    <t>Local Cost Allocation
due to
Office of
Juvenile
Justice
(Table 5E
col 13 + 
col 14)</t>
  </si>
  <si>
    <t>Total
Local Cost Allocation
 due to 
other
LEAs</t>
  </si>
  <si>
    <r>
      <t xml:space="preserve">Total MFP
Payment
Amount
</t>
    </r>
    <r>
      <rPr>
        <b/>
        <sz val="10"/>
        <color rgb="FFFF0000"/>
        <rFont val="Arial"/>
        <family val="2"/>
      </rPr>
      <t>minus</t>
    </r>
    <r>
      <rPr>
        <b/>
        <sz val="10"/>
        <color indexed="18"/>
        <rFont val="Arial"/>
        <family val="2"/>
      </rPr>
      <t xml:space="preserve">
Local Cost Allocation 
due to 
other
LEAs</t>
    </r>
  </si>
  <si>
    <t>Local Cost Allocation
due to
RSD LA
(Table 5B-2
column 22)</t>
  </si>
  <si>
    <t>Local Cost Allocation 
due to
D'Arbonne
Woods
(Table 5C1B,
column 18)</t>
  </si>
  <si>
    <t>Local Cost Allocation
due to
Int'l H. S.
(VIBE)
(Table 5C1C
column 18)</t>
  </si>
  <si>
    <t>Local Cost Allocation 
due to
N.O.
Military/
Maritime
(Table 5C1D
column 18)</t>
  </si>
  <si>
    <t>Transfer 
to pay
the local
Cost 
due to
Lycee Francois
(Table 5C-1,
column 18)</t>
  </si>
  <si>
    <t>Local Cost Allocation
due to
Lake Charles Academy
(Table 5C1F
column 18)</t>
  </si>
  <si>
    <t>Local Cost Allocation
due to
J. S. Clark
Leadership
Academy
(Table 5C1G
column 18)</t>
  </si>
  <si>
    <t>Local Cost Allocation
due to
Southwest
LA
Charter
(Table 5C1H
column 18)</t>
  </si>
  <si>
    <t>Local Cost Allocation due monthly
 to the
Office of
Juvenile
Justice
(Table 5E
column 16)</t>
  </si>
  <si>
    <r>
      <t xml:space="preserve">Total MFP
Payment
Amount
</t>
    </r>
    <r>
      <rPr>
        <b/>
        <sz val="10"/>
        <color rgb="FFFF0000"/>
        <rFont val="Arial"/>
        <family val="2"/>
      </rPr>
      <t>minus</t>
    </r>
    <r>
      <rPr>
        <b/>
        <sz val="10"/>
        <color indexed="18"/>
        <rFont val="Arial"/>
        <family val="2"/>
      </rPr>
      <t xml:space="preserve">
Local Cost Allocation 
to RSD
and 
Type 2 
Charters</t>
    </r>
  </si>
  <si>
    <t>Local Cost Allocation of 
Level 1
(DEDUCTION for Property &amp; Sales and Other Revenues)</t>
  </si>
  <si>
    <t>Local Cost Allocation
of Level 1
with 75% max Local Cost Allocation
(DEDUCTION for Property &amp; Sales and Other Revenues)</t>
  </si>
  <si>
    <t xml:space="preserve">
STATE Cost Allocation 
OF LEVEL 1</t>
  </si>
  <si>
    <t>State 
Cost Allocation
 %</t>
  </si>
  <si>
    <t>Local 
Cost Allocation
 %</t>
  </si>
  <si>
    <t>Per Pupil 
Local Cost Allocation
 of Level 1</t>
  </si>
  <si>
    <t>LOCAL Cost Allocation 
of Level 2</t>
  </si>
  <si>
    <t xml:space="preserve">
STATE Cost Allocation
OF LEVEL 2 </t>
  </si>
  <si>
    <t>MFP  
State
Cost 
Allocation</t>
  </si>
  <si>
    <t>Total MFP State Cost 
Allocation Plus 
Continuation of 
Prior Year
Pay 
Raises</t>
  </si>
  <si>
    <t>Total
FY2012-13
MFP State Cost  
Allocation 
Plus Continuation of Pay Raises 
Minus Audit Adjustments</t>
  </si>
  <si>
    <t xml:space="preserve">State
and 
Local
Cost Allocation
Monthly
Payment
</t>
  </si>
  <si>
    <t xml:space="preserve">State
Cost Allocation
Monthly
Payment
</t>
  </si>
  <si>
    <t xml:space="preserve">MFP Local Cost Allocation of Educational Cost </t>
  </si>
  <si>
    <t>MFP
State 
Cost
Allocation</t>
  </si>
  <si>
    <r>
      <t xml:space="preserve">Total 
FY2012-13
MFP 
State
Cost
Allocation 
</t>
    </r>
    <r>
      <rPr>
        <b/>
        <sz val="10"/>
        <color indexed="60"/>
        <rFont val="Futura Lt BT"/>
        <family val="2"/>
      </rPr>
      <t>plus</t>
    </r>
    <r>
      <rPr>
        <b/>
        <sz val="10"/>
        <color indexed="18"/>
        <rFont val="Futura Lt BT"/>
        <family val="2"/>
      </rPr>
      <t xml:space="preserve">
Continuation 
of Prior
Year
Pay 
Raises</t>
    </r>
  </si>
  <si>
    <r>
      <t xml:space="preserve">Total 
FY2012-13
MFP
State
Cost
Allocation 
</t>
    </r>
    <r>
      <rPr>
        <b/>
        <sz val="10"/>
        <color indexed="60"/>
        <rFont val="Futura Lt BT"/>
        <family val="2"/>
      </rPr>
      <t xml:space="preserve">plus </t>
    </r>
    <r>
      <rPr>
        <b/>
        <sz val="10"/>
        <color indexed="18"/>
        <rFont val="Futura Lt BT"/>
        <family val="2"/>
      </rPr>
      <t xml:space="preserve">Continuation
of Pay Raises
</t>
    </r>
    <r>
      <rPr>
        <b/>
        <sz val="10"/>
        <color indexed="60"/>
        <rFont val="Futura Lt BT"/>
        <family val="2"/>
      </rPr>
      <t xml:space="preserve">+/- </t>
    </r>
    <r>
      <rPr>
        <b/>
        <sz val="10"/>
        <color indexed="18"/>
        <rFont val="Futura Lt BT"/>
        <family val="2"/>
      </rPr>
      <t xml:space="preserve"> Audit  Adjustments</t>
    </r>
  </si>
  <si>
    <t xml:space="preserve">Total
Local 
Cost
Allocation
</t>
  </si>
  <si>
    <t>Total 
Local
Cost
Allocation
minus
Admin
Fee</t>
  </si>
  <si>
    <t>Total
Local 
Cost
Allocation
minus 
Admin Fee
+/- Audit 
Adj.</t>
  </si>
  <si>
    <t>State Cost Allocation
Per Pupil
(Levels 
1, 2  &amp; 3)
for
Orleans 
Parish</t>
  </si>
  <si>
    <t>MFP
State
Cost
Allocation</t>
  </si>
  <si>
    <t>Total
MFP
State
Cost
Allocation 
plus
Continuation 
of Pay Raises</t>
  </si>
  <si>
    <t>Total
MFP
State
Cost
Allocation 
+ Contin. 
of Pay Raises
- Admin Fee</t>
  </si>
  <si>
    <t>Total 
MFP
State
Cost
Allocation 
+ Continuation
of Pay Raises
- Admin Fees
 +/- Audit  Adjustments</t>
  </si>
  <si>
    <t>Total
Local
Cost
Allocation</t>
  </si>
  <si>
    <t>Total
Local
Cost
Allocation 
+ Contin. 
of Pay Raises
- Admin Fee</t>
  </si>
  <si>
    <t>Total 
Local
Cost
Allocation 
+ Continuation
of Pay Raises
- Admin Fees
 +/- Audit  Adjustments</t>
  </si>
  <si>
    <t>State
Cost Allocation
Monthly
Payment</t>
  </si>
  <si>
    <t>Local
Cost Allocation
Monthly
Payment</t>
  </si>
  <si>
    <t xml:space="preserve">MFP State Cost of Educational Cost 
</t>
  </si>
  <si>
    <t>State
Cost
Allocation</t>
  </si>
  <si>
    <t>Total
State Cost Allocation
+ Prior Year
Pay Raises</t>
  </si>
  <si>
    <t>Total
State Cost Allocation
+ Prior Year
Pay Raises
- Admin Fee</t>
  </si>
  <si>
    <t>Total 
State 
Cost
Allocation 
minus Admin.
Fee 
+/- Audit
Adjustments</t>
  </si>
  <si>
    <t>Local 
Cost 
Allocation</t>
  </si>
  <si>
    <t>Local Cost
Allocation
minus
Admin Fee</t>
  </si>
  <si>
    <t>Total 
Local
Cost
Allocation 
minus Admin.
Fee 
+/- Audit
Adjustments</t>
  </si>
  <si>
    <t xml:space="preserve">Local 
Cost Allocation
Monthly
Payment
</t>
  </si>
  <si>
    <t xml:space="preserve">Total 
State 
and 
Local
Cost  Allocation
Payment
</t>
  </si>
  <si>
    <t xml:space="preserve">Total 
State 
and 
Local
Cost Allocation Payment
</t>
  </si>
  <si>
    <t>Local 
Cost
Allocation</t>
  </si>
  <si>
    <t>Total 
Local
Cost Allocation
minus Admin.
Fee 
+/- Audit
Adjustments</t>
  </si>
  <si>
    <t xml:space="preserve">MFP State Cost  of Educational Cost 
</t>
  </si>
  <si>
    <t>State
Cost 
Allocation</t>
  </si>
  <si>
    <t>Total
State Cost  Allocation
+ Prior Year
Pay Raises</t>
  </si>
  <si>
    <t>Total
State Cost  Allocation
+ Prior Year
Pay Raises
- Admin Fee</t>
  </si>
  <si>
    <t>Total 
State 
Cost 
Allocation 
minus Admin.
Fee 
+/- Audit
Adjustments</t>
  </si>
  <si>
    <t>Local 
Cost  
Allocation</t>
  </si>
  <si>
    <t>Local Cost 
Allocation
minus
Admin Fee</t>
  </si>
  <si>
    <t>Total 
Local
Cost 
Allocation 
minus Admin.
Fee 
+/- Audit
Adjustments</t>
  </si>
  <si>
    <t xml:space="preserve">Local 
Cost  Allocation
Monthly
Payment
</t>
  </si>
  <si>
    <t xml:space="preserve">Total 
State 
and 
Local
Cost Allocation
Payment
</t>
  </si>
  <si>
    <t>Total 
State 
Cost 
Allocation 
Plus
Continuation
of 
Prior Year
Pay
Raises</t>
  </si>
  <si>
    <t>Total 
State 
Cost 
Allocation 
minus Admin.
Fee</t>
  </si>
  <si>
    <t>Total
Local
Cost 
Allocation</t>
  </si>
  <si>
    <t>Total
Local 
Cost 
Allocation
minus
Local 
Admin Fee</t>
  </si>
  <si>
    <t>Total
Local 
Cost 
Allocation
minus 
Admin Fee
+/- Audit 
Adj.</t>
  </si>
  <si>
    <t>State
Cost Allocation
Monthly 
Payment</t>
  </si>
  <si>
    <t xml:space="preserve">Total
State and
Local
Cost Allocation
Payment
</t>
  </si>
  <si>
    <t xml:space="preserve">Total
State and
Local
Cost Allocation
Monthly 
Payment
</t>
  </si>
  <si>
    <t>State Cost
Allocation 
for OJJ
Secure Care
Students</t>
  </si>
  <si>
    <t>Local Cost 
Allocation
 for OJJ 
Secure Care
Students</t>
  </si>
  <si>
    <t>Total 
Local
Cost
Allocation 
+/- Audit
Adjustments</t>
  </si>
  <si>
    <t>Total State and Local Cost
Allocation
 for OJJ 
Secure
Care
Students</t>
  </si>
  <si>
    <t>MFP Local Cost Allocation of Educational Cost for 
Youth in Secure Care</t>
  </si>
  <si>
    <t>Adjusted
Local
Cost Allocation
Per Pupil
including
OJJ</t>
  </si>
  <si>
    <t>FY2013-14
Levels 1 and 2
LOCAL 
Cost Allocation 
OF COST
(Table 3, Col 57)</t>
  </si>
  <si>
    <t>Feb. 1, 2013
MFP Funded
Membership 
+ 
ADM* at OJJ</t>
  </si>
  <si>
    <t xml:space="preserve">
 Local Cost Allocation 
due to
RSD 
Orleans
(Table 5B-1,
column 16)</t>
  </si>
  <si>
    <t>Local Cost Allocation 
due to
Madison 
Prep
(CSAL)
(Table 5C1A,
column 20)</t>
  </si>
  <si>
    <t>Local Cost Allocation
due to
Lycee
Francais
(Table 5C1E
column 20)</t>
  </si>
  <si>
    <t>Local Cost Allocation
due to
LAVCA
(Table 5C-2,
column 19)</t>
  </si>
  <si>
    <t>Local Cost Allocation
due to
LA 
Connections
(Table 5C-3,
column 19)</t>
  </si>
  <si>
    <r>
      <t xml:space="preserve">July ONLY:
Local
Admin Fee
Payable 
to DOE
(.25%)
RSD Orleans
</t>
    </r>
    <r>
      <rPr>
        <sz val="10"/>
        <color indexed="18"/>
        <rFont val="Arial"/>
        <family val="2"/>
      </rPr>
      <t>(Table 5B-1,
column 11)</t>
    </r>
  </si>
  <si>
    <r>
      <t xml:space="preserve">July ONLY:
Local
Admin 
Fee
Payable 
to DOE
(.25%)
Madison 
Prep
</t>
    </r>
    <r>
      <rPr>
        <sz val="10"/>
        <color indexed="18"/>
        <rFont val="Arial"/>
        <family val="2"/>
      </rPr>
      <t>(Table 5C1A,
column 16)</t>
    </r>
  </si>
  <si>
    <r>
      <t xml:space="preserve">July ONLY:
Local
Admin 
Fee
Payable 
to DOE
(.25%)
Int'l H. S.
</t>
    </r>
    <r>
      <rPr>
        <sz val="10"/>
        <color indexed="18"/>
        <rFont val="Arial"/>
        <family val="2"/>
      </rPr>
      <t>(Table 5C1C,
column 14)</t>
    </r>
  </si>
  <si>
    <r>
      <t xml:space="preserve">July ONLY:
Local
Admin 
Fee
Payable 
to DOE
(.25%)
N.O.
Military
</t>
    </r>
    <r>
      <rPr>
        <sz val="10"/>
        <color indexed="18"/>
        <rFont val="Arial"/>
        <family val="2"/>
      </rPr>
      <t>(Table 5C1D,
column 14)</t>
    </r>
  </si>
  <si>
    <r>
      <t xml:space="preserve">July ONLY:
Local
Admin 
Fee
Payable 
to DOE
(.25%)
Lycee Francais
</t>
    </r>
    <r>
      <rPr>
        <sz val="10"/>
        <color indexed="18"/>
        <rFont val="Arial"/>
        <family val="2"/>
      </rPr>
      <t>(Table 5C1E,
column 16)</t>
    </r>
  </si>
  <si>
    <r>
      <t xml:space="preserve">July ONLY:
Local
Admin 
Fee
Payable 
to DOE
(.25%)
Lake Charles
Academy
</t>
    </r>
    <r>
      <rPr>
        <sz val="10"/>
        <color indexed="18"/>
        <rFont val="Arial"/>
        <family val="2"/>
      </rPr>
      <t>(Table 5C1F,
column 14)</t>
    </r>
  </si>
  <si>
    <r>
      <t xml:space="preserve">July ONLY:
Local
Admin 
Fee
Payable 
to DOE
(.25%)
Clark
Leadership
</t>
    </r>
    <r>
      <rPr>
        <sz val="10"/>
        <color indexed="18"/>
        <rFont val="Arial"/>
        <family val="2"/>
      </rPr>
      <t>(Table 5C1G,
column 14)</t>
    </r>
  </si>
  <si>
    <r>
      <t xml:space="preserve">July ONLY:
Local
Admin 
Fee
Payable 
to DOE
(.25%)
Southwest
LA Charter
</t>
    </r>
    <r>
      <rPr>
        <sz val="10"/>
        <color indexed="18"/>
        <rFont val="Arial"/>
        <family val="2"/>
      </rPr>
      <t>(Table 5C1H,
column 14)</t>
    </r>
  </si>
  <si>
    <r>
      <t xml:space="preserve">July ONLY:
Local
Admin 
Fee
Payable 
to DOE
(.25%
LAVCA
</t>
    </r>
    <r>
      <rPr>
        <sz val="10"/>
        <color indexed="18"/>
        <rFont val="Arial"/>
        <family val="2"/>
      </rPr>
      <t>(Table 5C-2,
column 15)</t>
    </r>
  </si>
  <si>
    <r>
      <t xml:space="preserve">July ONLY:
Local
Admin 
Fee
Payable 
to DOE
(.25%)
LA Conn.
</t>
    </r>
    <r>
      <rPr>
        <sz val="10"/>
        <color indexed="18"/>
        <rFont val="Arial"/>
        <family val="2"/>
      </rPr>
      <t>(Table 5C-3,
column 15)</t>
    </r>
  </si>
  <si>
    <t>Level 1 and 2 State Cost Allocation (C1+E1)</t>
  </si>
  <si>
    <t>FY2013-14
Total MFP
Allocation 
+/- Adjustments
minus
 State Cost Allocation to 
other LEAs</t>
  </si>
  <si>
    <t xml:space="preserve">
Levels 1 &amp; 2
STATE Cost Allocation
 </t>
  </si>
  <si>
    <t xml:space="preserve">
Levels 1, 2 &amp; 3
STATE Cost Allocation
without Continuation of Prior Year
Pay Raises</t>
  </si>
  <si>
    <t xml:space="preserve">
Levels 1 and 2
LOCAL Cost Allocation 
</t>
  </si>
  <si>
    <r>
      <t xml:space="preserve">
</t>
    </r>
    <r>
      <rPr>
        <b/>
        <sz val="10"/>
        <color indexed="10"/>
        <rFont val="Arial Narrow"/>
        <family val="2"/>
      </rPr>
      <t xml:space="preserve">TOTAL STATE </t>
    </r>
    <r>
      <rPr>
        <b/>
        <sz val="10"/>
        <color indexed="18"/>
        <rFont val="Arial Narrow"/>
        <family val="2"/>
      </rPr>
      <t xml:space="preserve">
(with Continuation
of Pay Raises)
 AND
</t>
    </r>
    <r>
      <rPr>
        <b/>
        <sz val="10"/>
        <color indexed="10"/>
        <rFont val="Arial Narrow"/>
        <family val="2"/>
      </rPr>
      <t>LOCAL</t>
    </r>
    <r>
      <rPr>
        <b/>
        <sz val="10"/>
        <color indexed="18"/>
        <rFont val="Arial Narrow"/>
        <family val="2"/>
      </rPr>
      <t xml:space="preserve"> COST ALLOCATION   
Levels 1 and 2</t>
    </r>
  </si>
  <si>
    <t>FY2012-13
STATE 
Cost Allocation LEVELS
1, 2, &amp; 3
(July 2012)
(includes 
Continuation of
 Prior Year Pay Raises)</t>
  </si>
  <si>
    <t>Difference 
Between
Simulation 
and 
FY2012-13
Simulation
STATE 
Cost Allocation  LEVELS
1, 2, &amp; 3</t>
  </si>
  <si>
    <r>
      <t xml:space="preserve">
Levels 1, 2 &amp; 3
STATE Cost Allocation
</t>
    </r>
    <r>
      <rPr>
        <b/>
        <sz val="10"/>
        <color rgb="FFFF0000"/>
        <rFont val="Arial"/>
        <family val="2"/>
      </rPr>
      <t>with 
Continuation of 
Prior Year
Pay Raises</t>
    </r>
  </si>
  <si>
    <t>(4a)</t>
  </si>
  <si>
    <t>(5a)</t>
  </si>
  <si>
    <t>(6a)</t>
  </si>
  <si>
    <t>(6b)</t>
  </si>
  <si>
    <t>FY2013-14
MFP State
Share of Levels
1, 2, and 3
with
 Continuation 
of Prior-Year
 Pay Raises</t>
  </si>
  <si>
    <t>(Table 3,  col.29)</t>
  </si>
  <si>
    <t>(Table 3, 
col. 29)</t>
  </si>
  <si>
    <r>
      <t xml:space="preserve">State Cost Allocation
Per Pupil
(Levels 
1, 2  &amp; 3)
</t>
    </r>
    <r>
      <rPr>
        <sz val="10"/>
        <color indexed="18"/>
        <rFont val="Arial"/>
        <family val="2"/>
      </rPr>
      <t>(Table 3, 
col. 29)</t>
    </r>
  </si>
  <si>
    <r>
      <t xml:space="preserve">FY2013-14
Levels 1, 2 &amp; 3
STATE Cost Allocation
OF COST
 Per Pupil 
without
Pay Raise
</t>
    </r>
    <r>
      <rPr>
        <sz val="9"/>
        <color indexed="18"/>
        <rFont val="Arial"/>
        <family val="2"/>
      </rPr>
      <t>(Table 3, Col 29)</t>
    </r>
  </si>
  <si>
    <r>
      <t xml:space="preserve">FY2013-14
Levels 1, 2 &amp; 3
STATE Cost Allocation
OF COST
Per Pupil*
</t>
    </r>
    <r>
      <rPr>
        <sz val="9"/>
        <color indexed="18"/>
        <rFont val="Arial"/>
        <family val="2"/>
      </rPr>
      <t>(Table 3, Col 32)</t>
    </r>
  </si>
  <si>
    <r>
      <t xml:space="preserve">
STUDENTS WITH DISABILITIES
</t>
    </r>
    <r>
      <rPr>
        <sz val="10"/>
        <color indexed="18"/>
        <rFont val="Arial"/>
        <family val="2"/>
      </rPr>
      <t>(Per SER
2-1-13)</t>
    </r>
    <r>
      <rPr>
        <b/>
        <sz val="10"/>
        <color indexed="18"/>
        <rFont val="Arial"/>
        <family val="2"/>
      </rPr>
      <t xml:space="preserve">
</t>
    </r>
  </si>
  <si>
    <r>
      <t xml:space="preserve">
GIFTED AND 
TALENTED 
STUDENTS
</t>
    </r>
    <r>
      <rPr>
        <sz val="10"/>
        <color indexed="18"/>
        <rFont val="Arial"/>
        <family val="2"/>
      </rPr>
      <t>(Per SER
2-1-13)</t>
    </r>
  </si>
  <si>
    <t>H.</t>
  </si>
  <si>
    <t>State Share Formula Allocation (City/Parish Local School System)</t>
  </si>
  <si>
    <t>February 1, 2013 MFP &amp; Other Funded Membership by School Location or Student Residence</t>
  </si>
  <si>
    <t>Prepared: 2/27/2013</t>
  </si>
  <si>
    <t>LeaGpCode 1</t>
  </si>
  <si>
    <t>LeaGpCode 5 - RSD Schools</t>
  </si>
  <si>
    <t>FY2013-14
Table 3</t>
  </si>
  <si>
    <t>LeaGpCode 2 - Lab Schools</t>
  </si>
  <si>
    <t>FY2012-13
Total
MFP
Funded</t>
  </si>
  <si>
    <t>City/Parish District MFP Funded Membership 
February 1, 2013
(Per SIS)</t>
  </si>
  <si>
    <t>RSD - LA
(Type 5 Only)</t>
  </si>
  <si>
    <t>RSD - Orleans
(Type 5 Only)</t>
  </si>
  <si>
    <t>RSD - State Operated</t>
  </si>
  <si>
    <t>3_ Legacy-321001-New Vision Learning Academy</t>
  </si>
  <si>
    <t>3_ Legacy-329001-V_ B_ Glencoe Charter School</t>
  </si>
  <si>
    <t>3_ Legacy-331001-International School of Louisiana</t>
  </si>
  <si>
    <t>3_ Legacy-333001-Avoyelles Public Charter School</t>
  </si>
  <si>
    <t>3_ Legacy-336001-Delhi Charter School</t>
  </si>
  <si>
    <t>3_ Legacy-337001-Belle Chasse Academy</t>
  </si>
  <si>
    <t>3_ Legacy-339001-Milestone SABIS Academy of New Orleans</t>
  </si>
  <si>
    <t>3_ Legacy-340001-The MAX Charter School</t>
  </si>
  <si>
    <t>3_328001-Southwest Louisiana Charter School</t>
  </si>
  <si>
    <t>3_341001-D'Arbonne Woods Charter School</t>
  </si>
  <si>
    <t>3_343001-Madison Preparatory Academy</t>
  </si>
  <si>
    <t>3_343002-Louisiana Virtual Charter Academy</t>
  </si>
  <si>
    <t>3_344001-International High School of New Orleans</t>
  </si>
  <si>
    <t>3_345001-Louisiana Connections Academy</t>
  </si>
  <si>
    <t>3_346001-Lake Charles Charter Academy</t>
  </si>
  <si>
    <t>3_347001-Lycee Francais de la Nouvelle-Orleans</t>
  </si>
  <si>
    <t>3_348001-New Orleans Military/Maritime Academy</t>
  </si>
  <si>
    <t>3_349001-JS Clark Leadership Academy</t>
  </si>
  <si>
    <t>4_302006-Louisiana School for Math Science &amp; the Arts</t>
  </si>
  <si>
    <t>4_334001-New Orleans Center for Creative Arts</t>
  </si>
  <si>
    <t>2_318001-LSU Laboratory School</t>
  </si>
  <si>
    <t>2_319001-Southern University Lab School</t>
  </si>
  <si>
    <t>Acadia Parish</t>
  </si>
  <si>
    <t>002</t>
  </si>
  <si>
    <t>Allen Parish</t>
  </si>
  <si>
    <t>Ascension Parish</t>
  </si>
  <si>
    <t>Assumption Parish</t>
  </si>
  <si>
    <t>005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</si>
  <si>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</si>
  <si>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</si>
  <si>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</si>
  <si>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</si>
  <si>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</si>
  <si>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</si>
  <si>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</si>
  <si>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012</t>
  </si>
  <si>
    <t>Cameron Parish</t>
  </si>
  <si>
    <t>013</t>
  </si>
  <si>
    <t>Catahoula Parish</t>
  </si>
  <si>
    <t>014</t>
  </si>
  <si>
    <t>Claiborne Parish</t>
  </si>
  <si>
    <t>015</t>
  </si>
  <si>
    <t>Concordia Parish</t>
  </si>
  <si>
    <t>016</t>
  </si>
  <si>
    <t>DeSoto Parish</t>
  </si>
  <si>
    <t>East Baton Rouge Parish</t>
  </si>
  <si>
    <t>018</t>
  </si>
  <si>
    <t>East Carroll Parish</t>
  </si>
  <si>
    <t>East Feliciana Parish</t>
  </si>
  <si>
    <t>020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</si>
  <si>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</si>
  <si>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</si>
  <si>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</si>
  <si>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</si>
  <si>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</si>
  <si>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</si>
  <si>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</si>
  <si>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027</t>
  </si>
  <si>
    <t>Jefferson Davis Parish</t>
  </si>
  <si>
    <t>Lafayette Parish</t>
  </si>
  <si>
    <t>Lafourche Parish</t>
  </si>
  <si>
    <t>030</t>
  </si>
  <si>
    <t>LaSalle Parish</t>
  </si>
  <si>
    <t>Lincoln Parish</t>
  </si>
  <si>
    <t>Livingston Parish</t>
  </si>
  <si>
    <t>033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</si>
  <si>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</si>
  <si>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</si>
  <si>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</si>
  <si>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</si>
  <si>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</si>
  <si>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</si>
  <si>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</si>
  <si>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</si>
  <si>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041</t>
  </si>
  <si>
    <t>Red River Parish</t>
  </si>
  <si>
    <t>Richland Parish</t>
  </si>
  <si>
    <t>043</t>
  </si>
  <si>
    <t>Sabine Parish</t>
  </si>
  <si>
    <t>St. Bernard Parish</t>
  </si>
  <si>
    <t>St. Charles Parish</t>
  </si>
  <si>
    <t>St. Helena Parish</t>
  </si>
  <si>
    <t>St. James Parish</t>
  </si>
  <si>
    <t>St. John the Baptist Parish</t>
  </si>
  <si>
    <t>St. Landry Parish</t>
  </si>
  <si>
    <t>St. Martin Parish</t>
  </si>
  <si>
    <t>St. Mary Parish</t>
  </si>
  <si>
    <t>St. Tammany Parish</t>
  </si>
  <si>
    <t>Tangipahoa Parish</t>
  </si>
  <si>
    <t>054</t>
  </si>
  <si>
    <t>Tensas Parish</t>
  </si>
  <si>
    <t>Terrebonne Parish</t>
  </si>
  <si>
    <t>Union Parish</t>
  </si>
  <si>
    <t>Vermilion Parish</t>
  </si>
  <si>
    <t>058</t>
  </si>
  <si>
    <t>Vernon Parish</t>
  </si>
  <si>
    <t>Washington Parish</t>
  </si>
  <si>
    <t>060</t>
  </si>
  <si>
    <t>Webster Parish</t>
  </si>
  <si>
    <t>West Baton Rouge Parish</t>
  </si>
  <si>
    <t>062</t>
  </si>
  <si>
    <t>West Carroll Parish</t>
  </si>
  <si>
    <t>063</t>
  </si>
  <si>
    <t>West Feliciana Parish</t>
  </si>
  <si>
    <t>064</t>
  </si>
  <si>
    <t>Winn Parish</t>
  </si>
  <si>
    <t>City of Monroe School District</t>
  </si>
  <si>
    <t>City of Bogalusa School District</t>
  </si>
  <si>
    <t>067</t>
  </si>
  <si>
    <t>Zachary Community School District</t>
  </si>
  <si>
    <t>City of Baker School District</t>
  </si>
  <si>
    <t>069</t>
  </si>
  <si>
    <t>Central Community School District</t>
  </si>
  <si>
    <t>Out-Of-State</t>
  </si>
  <si>
    <t/>
  </si>
  <si>
    <t>Totals - MFP &amp; Funded</t>
  </si>
  <si>
    <t>2/1/13 SSEEP Students</t>
  </si>
  <si>
    <r>
      <t xml:space="preserve">
Feb. 1, 2013
MFP Funded
Membership
(Per SIS)
</t>
    </r>
    <r>
      <rPr>
        <sz val="8"/>
        <color indexed="18"/>
        <rFont val="Arial"/>
        <family val="2"/>
      </rPr>
      <t xml:space="preserve">(Includes  Recovery 
School District,
Type 5 Charters,
 and Non-Legacy
 Type 2 Charters
 (Not 1st Year),  
  </t>
    </r>
  </si>
  <si>
    <r>
      <t xml:space="preserve">Continuation 
of
 Prior Year 
Pay Raises *
</t>
    </r>
    <r>
      <rPr>
        <sz val="9"/>
        <color indexed="18"/>
        <rFont val="Arial"/>
        <family val="2"/>
      </rPr>
      <t xml:space="preserve">(Includes Type 5 Charters, and
Non-Legacy Type 2 Charters, Not 1st Year, </t>
    </r>
  </si>
  <si>
    <t>Charter Schools</t>
  </si>
  <si>
    <t>Total 
Base
Allocation</t>
  </si>
  <si>
    <t>Continuation of 
Prior Year Pay Raises</t>
  </si>
  <si>
    <r>
      <t xml:space="preserve">Total 
Base
Allocation
</t>
    </r>
    <r>
      <rPr>
        <b/>
        <sz val="10"/>
        <color indexed="60"/>
        <rFont val="Arial"/>
        <family val="2"/>
      </rPr>
      <t>+</t>
    </r>
    <r>
      <rPr>
        <b/>
        <sz val="10"/>
        <color indexed="18"/>
        <rFont val="Arial"/>
        <family val="2"/>
      </rPr>
      <t xml:space="preserve">
Continuation 
of 
Pay Raises</t>
    </r>
  </si>
  <si>
    <t>State
Admin
Fee
to
Dept. of
Education
(.25%)</t>
  </si>
  <si>
    <r>
      <t xml:space="preserve">Total 
Base
Allocation
</t>
    </r>
    <r>
      <rPr>
        <b/>
        <sz val="10"/>
        <color indexed="60"/>
        <rFont val="Arial"/>
        <family val="2"/>
      </rPr>
      <t>+</t>
    </r>
    <r>
      <rPr>
        <b/>
        <sz val="10"/>
        <color indexed="18"/>
        <rFont val="Arial"/>
        <family val="2"/>
      </rPr>
      <t xml:space="preserve">
Continuation 
of 
Pay Raises
</t>
    </r>
    <r>
      <rPr>
        <b/>
        <sz val="10"/>
        <color indexed="60"/>
        <rFont val="Arial"/>
        <family val="2"/>
      </rPr>
      <t xml:space="preserve">- </t>
    </r>
    <r>
      <rPr>
        <b/>
        <sz val="10"/>
        <color indexed="18"/>
        <rFont val="Arial"/>
        <family val="2"/>
      </rPr>
      <t>Admin Fee</t>
    </r>
  </si>
  <si>
    <r>
      <t xml:space="preserve">Total 
Allocation
</t>
    </r>
    <r>
      <rPr>
        <b/>
        <sz val="10"/>
        <color indexed="60"/>
        <rFont val="Arial"/>
        <family val="2"/>
      </rPr>
      <t xml:space="preserve">+ </t>
    </r>
    <r>
      <rPr>
        <b/>
        <sz val="10"/>
        <color indexed="18"/>
        <rFont val="Arial"/>
        <family val="2"/>
      </rPr>
      <t xml:space="preserve">Pay Raises
</t>
    </r>
    <r>
      <rPr>
        <b/>
        <sz val="10"/>
        <color indexed="60"/>
        <rFont val="Arial"/>
        <family val="2"/>
      </rPr>
      <t xml:space="preserve">- </t>
    </r>
    <r>
      <rPr>
        <b/>
        <sz val="10"/>
        <color indexed="18"/>
        <rFont val="Arial"/>
        <family val="2"/>
      </rPr>
      <t xml:space="preserve">Admin. Fee
</t>
    </r>
    <r>
      <rPr>
        <b/>
        <sz val="10"/>
        <color indexed="60"/>
        <rFont val="Arial"/>
        <family val="2"/>
      </rPr>
      <t xml:space="preserve">+/- </t>
    </r>
    <r>
      <rPr>
        <b/>
        <sz val="10"/>
        <color indexed="18"/>
        <rFont val="Arial"/>
        <family val="2"/>
      </rPr>
      <t xml:space="preserve">Audit Adjustments
</t>
    </r>
    <r>
      <rPr>
        <b/>
        <sz val="10"/>
        <color indexed="60"/>
        <rFont val="Arial"/>
        <family val="2"/>
      </rPr>
      <t xml:space="preserve">+ </t>
    </r>
    <r>
      <rPr>
        <b/>
        <sz val="10"/>
        <color indexed="18"/>
        <rFont val="Arial"/>
        <family val="2"/>
      </rPr>
      <t xml:space="preserve">Foreign 
Associate
Stipends
</t>
    </r>
  </si>
  <si>
    <r>
      <t xml:space="preserve">Continuation 
of 
Prior Year 
Pay Raises 
</t>
    </r>
    <r>
      <rPr>
        <sz val="10"/>
        <color indexed="18"/>
        <rFont val="Arial"/>
        <family val="2"/>
      </rPr>
      <t>(FY2001-02
 through 
FY2008-09)</t>
    </r>
    <r>
      <rPr>
        <b/>
        <sz val="10"/>
        <color indexed="18"/>
        <rFont val="Arial"/>
        <family val="2"/>
      </rPr>
      <t xml:space="preserve">
Per Pupil
Amount</t>
    </r>
  </si>
  <si>
    <t>Continuation
of
Prior Year
Pay 
Raises</t>
  </si>
  <si>
    <r>
      <t xml:space="preserve">New Vision Learning                                     
</t>
    </r>
    <r>
      <rPr>
        <sz val="12"/>
        <rFont val="Arial"/>
        <family val="2"/>
      </rPr>
      <t>City of Monroe 
(Not in a district bldg)</t>
    </r>
  </si>
  <si>
    <r>
      <t xml:space="preserve">Glencoe Charter School                                    
</t>
    </r>
    <r>
      <rPr>
        <sz val="12"/>
        <rFont val="Arial"/>
        <family val="2"/>
      </rPr>
      <t>St. Mary Parish 
(Not in a district bldg)</t>
    </r>
  </si>
  <si>
    <r>
      <t xml:space="preserve">International School of LA             
</t>
    </r>
    <r>
      <rPr>
        <sz val="12"/>
        <rFont val="Arial"/>
        <family val="2"/>
      </rPr>
      <t>Orleans Parish 
(In a district bldg.)</t>
    </r>
  </si>
  <si>
    <r>
      <t xml:space="preserve">Avoyelles Public Charter                   
</t>
    </r>
    <r>
      <rPr>
        <sz val="12"/>
        <rFont val="Arial"/>
        <family val="2"/>
      </rPr>
      <t>Avoyelles Parish 
(Not in a district bldg)</t>
    </r>
  </si>
  <si>
    <r>
      <t xml:space="preserve">Delhi Charter School                                    </t>
    </r>
    <r>
      <rPr>
        <sz val="12"/>
        <rFont val="Arial"/>
        <family val="2"/>
      </rPr>
      <t xml:space="preserve"> 
Richland Parish
(Not in a district bldg)</t>
    </r>
  </si>
  <si>
    <r>
      <t xml:space="preserve">Belle Chasse Academy                                 
</t>
    </r>
    <r>
      <rPr>
        <sz val="12"/>
        <rFont val="Arial"/>
        <family val="2"/>
      </rPr>
      <t>Plaquemines Parish
(Not in a district bldg)</t>
    </r>
  </si>
  <si>
    <r>
      <t xml:space="preserve">Milestone SABIS Academy
</t>
    </r>
    <r>
      <rPr>
        <sz val="12"/>
        <rFont val="Arial"/>
        <family val="2"/>
      </rPr>
      <t>Orleans Parish
(Not in a district bldg)</t>
    </r>
  </si>
  <si>
    <r>
      <t xml:space="preserve">Maxine Giardina 
</t>
    </r>
    <r>
      <rPr>
        <sz val="12"/>
        <rFont val="Arial"/>
        <family val="2"/>
      </rPr>
      <t>Lafourche Parish
(Not in a district bldg)</t>
    </r>
  </si>
  <si>
    <t>TOTAL TYPE 2 CHARTER
 SCHOOL ALLOCATION</t>
  </si>
  <si>
    <t>Department of Education
Administrative Fee</t>
  </si>
  <si>
    <t>Total</t>
  </si>
  <si>
    <r>
      <t xml:space="preserve">Feb. 1, 2013
MFP
Student 
Count 
</t>
    </r>
    <r>
      <rPr>
        <sz val="10"/>
        <color indexed="18"/>
        <rFont val="Arial"/>
        <family val="2"/>
      </rPr>
      <t>(per SIS)</t>
    </r>
  </si>
  <si>
    <t xml:space="preserve">Monthly
Amount
</t>
  </si>
  <si>
    <t xml:space="preserve">     Table 5A-2:  Allocation for NOCCA and LSMSA </t>
  </si>
  <si>
    <t>MFP  
Allocation</t>
  </si>
  <si>
    <t>Total MFP
Allocation Plus 
Continuation of 
Prior Year
Pay 
Raises</t>
  </si>
  <si>
    <t>Total
FY2011-12 Allocation 
Plus Continuation of Pay Raises 
Minus Audit Adjustments</t>
  </si>
  <si>
    <t>Monthly Payment Amount</t>
  </si>
  <si>
    <r>
      <t xml:space="preserve">LSMSA
</t>
    </r>
    <r>
      <rPr>
        <sz val="10"/>
        <rFont val="Arial"/>
        <family val="2"/>
      </rPr>
      <t>Louisiana Schools for Math, Science and the Arts</t>
    </r>
  </si>
  <si>
    <r>
      <t xml:space="preserve">NOCCA
</t>
    </r>
    <r>
      <rPr>
        <sz val="10"/>
        <rFont val="Arial"/>
        <family val="2"/>
      </rPr>
      <t>New Orleans Center for Creative Arts</t>
    </r>
  </si>
  <si>
    <t>Audit 
Adjust-
ments 
FY2012-13
 Budget
 Letter</t>
  </si>
  <si>
    <t>3. First Year Non-Legacy Type 2 Charter Schools</t>
  </si>
  <si>
    <t xml:space="preserve">     First Year Non-Legacy Type 2 Charters (6)</t>
  </si>
  <si>
    <t>Total Weighted Membership of Parish/City Schools, Type 5 Charters,  Non-Legacy Type 2 Charters (Not 1st Year)</t>
  </si>
  <si>
    <t xml:space="preserve">    Parish/City Schools, Type 5 Charters, and 
    Non-Legacy Type 2 Charters (Not 1st Year),</t>
  </si>
  <si>
    <t>40.45/16.62</t>
  </si>
  <si>
    <t>1.99%/.82%</t>
  </si>
  <si>
    <t>Number of 
First Year
Foreign Associate
Teachers in
FY2012-13</t>
  </si>
  <si>
    <t>Number of 
Second and 
Third Year
Foreign Associate
Teachers in
FY2012-13</t>
  </si>
  <si>
    <t>City/Parish Totals</t>
  </si>
  <si>
    <t>International School of LA</t>
  </si>
  <si>
    <t>Lycee Francais de la N.O.</t>
  </si>
  <si>
    <t>Type 2 Charter Totals</t>
  </si>
  <si>
    <t>GRAND TOTAL STATE</t>
  </si>
  <si>
    <t>Arise Academy #2 (Mildred Osborne Charter) (Arise Academy)</t>
  </si>
  <si>
    <t>N. O. College Prep #3
(Crocker Prep)</t>
  </si>
  <si>
    <t>3A5001</t>
  </si>
  <si>
    <t>Better Choice Foundation
(Mary Dora Coghill Accelerated)</t>
  </si>
  <si>
    <t>Crescent City Schools
(Paul B. Habans)</t>
  </si>
  <si>
    <t>g.</t>
  </si>
  <si>
    <t xml:space="preserve">  Legacy Type 2 Charters</t>
  </si>
  <si>
    <t xml:space="preserve"> h.</t>
  </si>
  <si>
    <r>
      <t xml:space="preserve">OPSB
</t>
    </r>
    <r>
      <rPr>
        <sz val="12"/>
        <rFont val="Futura Lt BT"/>
        <family val="2"/>
      </rPr>
      <t>Orleans Parish</t>
    </r>
    <r>
      <rPr>
        <sz val="12"/>
        <color rgb="FFFF0000"/>
        <rFont val="Futura Lt BT"/>
        <family val="2"/>
      </rPr>
      <t xml:space="preserve"> (minus SSEEP)</t>
    </r>
  </si>
  <si>
    <r>
      <t>East Baton Rouge</t>
    </r>
    <r>
      <rPr>
        <sz val="12"/>
        <color rgb="FFFF0000"/>
        <rFont val="Arial"/>
        <family val="2"/>
      </rPr>
      <t xml:space="preserve"> (minus SSEEP)</t>
    </r>
    <r>
      <rPr>
        <sz val="12"/>
        <rFont val="Arial"/>
        <family val="2"/>
      </rPr>
      <t xml:space="preserve">
Parish School Board </t>
    </r>
  </si>
  <si>
    <r>
      <t xml:space="preserve">
Caddo Parish School Board
</t>
    </r>
    <r>
      <rPr>
        <sz val="12"/>
        <color rgb="FFFF0000"/>
        <rFont val="Arial"/>
        <family val="2"/>
      </rPr>
      <t>(minus SSEEP)</t>
    </r>
  </si>
  <si>
    <r>
      <t xml:space="preserve">St. Helena Parish 
School Board </t>
    </r>
    <r>
      <rPr>
        <sz val="12"/>
        <color rgb="FFFF0000"/>
        <rFont val="Arial"/>
        <family val="2"/>
      </rPr>
      <t>(minus SSEEP)</t>
    </r>
  </si>
  <si>
    <t>Plus/(Minus) Prior Year Adjustments - Legacy Type 2 Charters</t>
  </si>
  <si>
    <t xml:space="preserve">Total 
State 
Cost
Allocation 
</t>
  </si>
  <si>
    <t xml:space="preserve">
Total MFP
Distribution 
Amount minus 
Audit Adjustments and State Cost Allocation
July 2013
(Table 2, col. 22)</t>
  </si>
  <si>
    <r>
      <t xml:space="preserve">Monthly
Payments
Amount
July 2013
</t>
    </r>
    <r>
      <rPr>
        <sz val="10"/>
        <color indexed="18"/>
        <rFont val="Arial"/>
        <family val="2"/>
      </rPr>
      <t xml:space="preserve">
(Table 2, 
col. 20)</t>
    </r>
  </si>
  <si>
    <t>Local Cost Allocation
due to
LA Key Academy
(Table 5C1I,
col 13 + 
col 16)</t>
  </si>
  <si>
    <t>Local Cost Allocation
due to
Jefferson Chamber Fdtn
(Table 5C1J,
col 13 + 
col 16)</t>
  </si>
  <si>
    <t>Local Cost Allocation
due to
Tallulah Charter
(Table 5C1K,
col 13 + 
col 16)</t>
  </si>
  <si>
    <t>Local Cost Allocation
due to
Northshore Charter
(Table 5C1L,
col 13 + 
col 16)</t>
  </si>
  <si>
    <t>Local Cost Allocation
due to
EBR Charter Admy
(Table 5C1M
col 13 + 
col 16)</t>
  </si>
  <si>
    <t>Local Cost Allocation
due to
Delta Charter
(Table 5C1N,
col 13 + 
col 16)</t>
  </si>
  <si>
    <t>Local Cost Allocation
due to
LA Key Academy
(Table 5C1I
column 18)</t>
  </si>
  <si>
    <t>Local Cost Allocation
due to
Jefferson Chamber Fdtn
(Table 5C1J
column 18)</t>
  </si>
  <si>
    <t>Local Cost Allocation
due to
Tallulah Charter
(Table 5C1K
column 18)</t>
  </si>
  <si>
    <t>Local Cost Allocation
due to
Northshore Charter
(Table 5C1L
column 18)</t>
  </si>
  <si>
    <t>Local Cost Allocation
due to
EBR Charter Admy
(Table 5C1M
column 18)</t>
  </si>
  <si>
    <t>Local Cost Allocation
due to
Delta Charter
(Table 5C1N
column 18)</t>
  </si>
  <si>
    <t xml:space="preserve">Allocation for Legacy Type 2 Charter Schools </t>
  </si>
  <si>
    <r>
      <t xml:space="preserve">Louisiana Key Academy
</t>
    </r>
    <r>
      <rPr>
        <sz val="10"/>
        <color indexed="18"/>
        <rFont val="Arial"/>
        <family val="2"/>
      </rPr>
      <t>(Site Code 3A7001)
(Opened 13/14)
(Not in a District Building)</t>
    </r>
  </si>
  <si>
    <r>
      <t xml:space="preserve">Jefferson Chamber Foundation
</t>
    </r>
    <r>
      <rPr>
        <sz val="10"/>
        <color indexed="18"/>
        <rFont val="Arial"/>
        <family val="2"/>
      </rPr>
      <t>(Site Code 3A1001)
(Opened 13/14)
(Not in a District Building)</t>
    </r>
  </si>
  <si>
    <r>
      <t xml:space="preserve">Tallulah Charter School
</t>
    </r>
    <r>
      <rPr>
        <sz val="10"/>
        <color indexed="18"/>
        <rFont val="Arial"/>
        <family val="2"/>
      </rPr>
      <t>(Site Code 3A2001)
(Opened 13/14)
(Not in a District Building)</t>
    </r>
  </si>
  <si>
    <r>
      <t xml:space="preserve">Northshore Charter School
</t>
    </r>
    <r>
      <rPr>
        <sz val="10"/>
        <color indexed="18"/>
        <rFont val="Arial"/>
        <family val="2"/>
      </rPr>
      <t>(Site Code 3A6001)
(Opened 13/14)
(Not in a District Building)</t>
    </r>
  </si>
  <si>
    <r>
      <t xml:space="preserve">EBR Charter Academy
</t>
    </r>
    <r>
      <rPr>
        <sz val="10"/>
        <color indexed="18"/>
        <rFont val="Arial"/>
        <family val="2"/>
      </rPr>
      <t>(Site Code 3A3001)
(Opened 13/14)
(Not in a District Building)</t>
    </r>
  </si>
  <si>
    <r>
      <t xml:space="preserve">Delta Charter School
</t>
    </r>
    <r>
      <rPr>
        <sz val="10"/>
        <color indexed="18"/>
        <rFont val="Arial"/>
        <family val="2"/>
      </rPr>
      <t>(Site Code 3A4001)
(Opened 13/14)
(Not in a District Building)</t>
    </r>
  </si>
  <si>
    <r>
      <t xml:space="preserve">International High School of N. O.
(VIBE:  Voices for Int'l Business &amp; Education)
</t>
    </r>
    <r>
      <rPr>
        <sz val="11"/>
        <color indexed="18"/>
        <rFont val="Arial"/>
        <family val="2"/>
      </rPr>
      <t>(Site Code 344001)
(Opened 10/11)
(In an Orleans Parish  District Building)</t>
    </r>
    <r>
      <rPr>
        <b/>
        <sz val="11"/>
        <color indexed="18"/>
        <rFont val="Arial"/>
        <family val="2"/>
      </rPr>
      <t xml:space="preserve">
</t>
    </r>
  </si>
  <si>
    <r>
      <t xml:space="preserve">Initial
Local
Per Pupil
</t>
    </r>
    <r>
      <rPr>
        <sz val="10"/>
        <color indexed="18"/>
        <rFont val="Arial"/>
        <family val="2"/>
      </rPr>
      <t>(per charter law)
(in an Orleans Parish
 District
 Building)</t>
    </r>
  </si>
  <si>
    <t>Subtotal
For 
Table 3</t>
  </si>
  <si>
    <r>
      <t xml:space="preserve">FY2013-14
Table 3
</t>
    </r>
    <r>
      <rPr>
        <b/>
        <sz val="11"/>
        <color rgb="FFFF0000"/>
        <rFont val="Calibri"/>
        <family val="2"/>
      </rPr>
      <t>(without SSEEP)</t>
    </r>
  </si>
  <si>
    <r>
      <t xml:space="preserve">
Low Income
 and 
English 
Language 
Learner
</t>
    </r>
    <r>
      <rPr>
        <sz val="10"/>
        <color indexed="18"/>
        <rFont val="Arial"/>
        <family val="2"/>
      </rPr>
      <t>(Per SIS
2-1-13)</t>
    </r>
    <r>
      <rPr>
        <b/>
        <sz val="10"/>
        <color indexed="18"/>
        <rFont val="Arial"/>
        <family val="2"/>
      </rPr>
      <t xml:space="preserve">
</t>
    </r>
  </si>
  <si>
    <t xml:space="preserve">Weighted
Add-On
Students 
with
 Disabilities </t>
  </si>
  <si>
    <t>FY2013-14
Budget Letter
July 2013</t>
  </si>
  <si>
    <r>
      <t xml:space="preserve">FY11-12
Audit 
Adjustments
</t>
    </r>
    <r>
      <rPr>
        <sz val="10"/>
        <color indexed="18"/>
        <rFont val="Arial"/>
        <family val="2"/>
      </rPr>
      <t>(2/1/12 
Midyear
 Adjustment)</t>
    </r>
  </si>
  <si>
    <r>
      <t xml:space="preserve">FY12-13
Audit 
Adjustments
</t>
    </r>
    <r>
      <rPr>
        <sz val="10"/>
        <color indexed="18"/>
        <rFont val="Arial"/>
        <family val="2"/>
      </rPr>
      <t>(CAFR,
Base and 
Weighted 
Counts,
10/1/12 
Midyear)</t>
    </r>
  </si>
  <si>
    <r>
      <t xml:space="preserve">Audit
Adjust-
ments
FY2012-13
MFP
</t>
    </r>
    <r>
      <rPr>
        <sz val="9"/>
        <color indexed="18"/>
        <rFont val="Arial"/>
        <family val="2"/>
      </rPr>
      <t>(Includes 
2/1 midyear
 from 
FY2011-12)</t>
    </r>
  </si>
  <si>
    <r>
      <t>Audit
Adjust-
ments
FY2012-13
MFP</t>
    </r>
    <r>
      <rPr>
        <sz val="10"/>
        <color indexed="18"/>
        <rFont val="Futura Lt BT"/>
        <family val="2"/>
      </rPr>
      <t xml:space="preserve">
(Includes 
2/1 midyear
 from 
FY2011-12)</t>
    </r>
  </si>
  <si>
    <r>
      <t>Audit
Adjust-
ments
FY2012-13
MFP</t>
    </r>
    <r>
      <rPr>
        <sz val="10"/>
        <color indexed="18"/>
        <rFont val="Futura Lt BT"/>
        <family val="2"/>
      </rPr>
      <t xml:space="preserve">
(Includes 
2/1 midyear
 from 
FY2011-12</t>
    </r>
  </si>
  <si>
    <r>
      <t xml:space="preserve">Audit
Adjust-
ments
FY2012-13
MFP
</t>
    </r>
    <r>
      <rPr>
        <sz val="9"/>
        <color indexed="18"/>
        <rFont val="Arial"/>
        <family val="2"/>
      </rPr>
      <t>(Includes 
2/1 midyear
 from 
FY2011-12)</t>
    </r>
    <r>
      <rPr>
        <b/>
        <sz val="10"/>
        <color indexed="18"/>
        <rFont val="Arial"/>
        <family val="2"/>
      </rPr>
      <t xml:space="preserve">
</t>
    </r>
  </si>
  <si>
    <r>
      <t xml:space="preserve">FY2012-13 Audit 
Adjustments
</t>
    </r>
    <r>
      <rPr>
        <sz val="10"/>
        <color indexed="18"/>
        <rFont val="Arial"/>
        <family val="2"/>
      </rPr>
      <t xml:space="preserve">(Includes 2/1 Midyear from 11/12)
</t>
    </r>
  </si>
  <si>
    <r>
      <t xml:space="preserve">
ADM
for Youth  in Secure Care 
</t>
    </r>
    <r>
      <rPr>
        <sz val="10"/>
        <color indexed="18"/>
        <rFont val="Arial"/>
        <family val="2"/>
      </rPr>
      <t>(Preliminary)
(12/13 ADM Data)</t>
    </r>
    <r>
      <rPr>
        <b/>
        <sz val="8"/>
        <color indexed="10"/>
        <rFont val="Arial"/>
        <family val="2"/>
      </rPr>
      <t xml:space="preserve">
</t>
    </r>
    <r>
      <rPr>
        <b/>
        <sz val="10"/>
        <color indexed="56"/>
        <rFont val="Arial"/>
        <family val="2"/>
      </rPr>
      <t/>
    </r>
  </si>
  <si>
    <t>FY2013-14 
Initial
Per Pupil
Amount</t>
  </si>
  <si>
    <r>
      <t>RSD Operated</t>
    </r>
    <r>
      <rPr>
        <sz val="12"/>
        <rFont val="Arial"/>
        <family val="2"/>
      </rPr>
      <t xml:space="preserve">
</t>
    </r>
    <r>
      <rPr>
        <sz val="11"/>
        <rFont val="Arial"/>
        <family val="2"/>
      </rPr>
      <t>(Pointe Coupee Central High)</t>
    </r>
  </si>
  <si>
    <r>
      <t xml:space="preserve">
</t>
    </r>
    <r>
      <rPr>
        <sz val="12"/>
        <rFont val="Arial"/>
        <family val="2"/>
      </rPr>
      <t>Pointe Coupee Parish
School Board (Minus SSEEP)</t>
    </r>
  </si>
  <si>
    <t xml:space="preserve">Table 5D:  FY2013-14 MFP Budget Letter  </t>
  </si>
  <si>
    <r>
      <t xml:space="preserve">FY2013-14
State &amp; Local 
Per Pupil 
</t>
    </r>
    <r>
      <rPr>
        <sz val="10"/>
        <color indexed="18"/>
        <rFont val="Arial"/>
        <family val="2"/>
      </rPr>
      <t xml:space="preserve">
</t>
    </r>
    <r>
      <rPr>
        <sz val="10"/>
        <color rgb="FFFF0000"/>
        <rFont val="Arial"/>
        <family val="2"/>
      </rPr>
      <t>Local per final per pupil for 12/13</t>
    </r>
  </si>
  <si>
    <t xml:space="preserve">Table 5A1: FY2013-14 MFP Budget Letter </t>
  </si>
  <si>
    <r>
      <t xml:space="preserve">Stipends 
for
Foreign 
Associate
Teachers
</t>
    </r>
    <r>
      <rPr>
        <sz val="10"/>
        <rFont val="Arial"/>
        <family val="2"/>
      </rPr>
      <t>Update 
to
2013 in 
August</t>
    </r>
  </si>
  <si>
    <t>Stipends for Foreign Associate Teachers
(Update
to 2013
in 
August)</t>
  </si>
  <si>
    <t>FY2013-14
Total MFP
Allocation 
+/- Adjustments
minus
 State Cost Allocation to 
other LEAs
+ Stipends</t>
  </si>
  <si>
    <t>Totoal
Local Cost Allocation
due to
 Other
Entities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</si>
</sst>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"/>
    <numFmt numFmtId="167" formatCode="0.0000000"/>
    <numFmt numFmtId="168" formatCode="&quot;$&quot;#,##0;[Red]&quot;$&quot;#,##0"/>
    <numFmt numFmtId="169" formatCode="0.000%"/>
    <numFmt numFmtId="170" formatCode="&quot;$&quot;#,##0.00"/>
    <numFmt numFmtId="171" formatCode="0_);[Red]\(0\)"/>
    <numFmt numFmtId="172" formatCode="#,##0.0"/>
  </numFmts>
  <fonts count="15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b/>
      <sz val="18"/>
      <name val="Arial Narrow"/>
      <family val="2"/>
    </font>
    <font>
      <b/>
      <i/>
      <sz val="18"/>
      <name val="Arial Narrow"/>
      <family val="2"/>
    </font>
    <font>
      <sz val="8"/>
      <name val="Arial"/>
      <family val="2"/>
    </font>
    <font>
      <b/>
      <sz val="20"/>
      <color indexed="20"/>
      <name val="Arial Narrow"/>
      <family val="2"/>
    </font>
    <font>
      <b/>
      <sz val="12"/>
      <color indexed="62"/>
      <name val="Arial Narrow"/>
      <family val="2"/>
    </font>
    <font>
      <b/>
      <sz val="10"/>
      <color indexed="20"/>
      <name val="Arial"/>
      <family val="2"/>
    </font>
    <font>
      <b/>
      <sz val="10"/>
      <color indexed="20"/>
      <name val="Arial Narrow"/>
      <family val="2"/>
    </font>
    <font>
      <b/>
      <sz val="12"/>
      <color indexed="18"/>
      <name val="Arial Narrow"/>
      <family val="2"/>
    </font>
    <font>
      <sz val="10"/>
      <color indexed="18"/>
      <name val="Arial"/>
      <family val="2"/>
    </font>
    <font>
      <b/>
      <i/>
      <sz val="10"/>
      <color indexed="18"/>
      <name val="Arial Narrow"/>
      <family val="2"/>
    </font>
    <font>
      <b/>
      <sz val="18"/>
      <color indexed="20"/>
      <name val="Arial Narrow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b/>
      <sz val="16"/>
      <color indexed="20"/>
      <name val="Arial Narrow"/>
      <family val="2"/>
    </font>
    <font>
      <b/>
      <i/>
      <sz val="16"/>
      <name val="Arial"/>
      <family val="2"/>
    </font>
    <font>
      <b/>
      <i/>
      <sz val="20"/>
      <name val="Arial"/>
      <family val="2"/>
    </font>
    <font>
      <b/>
      <sz val="12"/>
      <color indexed="12"/>
      <name val="CG Omega (PCL6)"/>
      <family val="2"/>
    </font>
    <font>
      <b/>
      <i/>
      <sz val="10"/>
      <color indexed="12"/>
      <name val="Arial"/>
      <family val="2"/>
    </font>
    <font>
      <b/>
      <i/>
      <sz val="21"/>
      <name val="Arial"/>
      <family val="2"/>
    </font>
    <font>
      <b/>
      <sz val="10"/>
      <color indexed="20"/>
      <name val="Arial"/>
      <family val="2"/>
    </font>
    <font>
      <sz val="9"/>
      <name val="Arial Narrow"/>
      <family val="2"/>
    </font>
    <font>
      <sz val="9"/>
      <name val="Arial"/>
      <family val="2"/>
    </font>
    <font>
      <sz val="9"/>
      <color indexed="8"/>
      <name val="Arial Narrow"/>
      <family val="2"/>
    </font>
    <font>
      <sz val="9"/>
      <name val="Arial"/>
      <family val="2"/>
    </font>
    <font>
      <sz val="12"/>
      <color indexed="18"/>
      <name val="Arial Narrow"/>
      <family val="2"/>
    </font>
    <font>
      <b/>
      <sz val="16"/>
      <color indexed="10"/>
      <name val="Arial"/>
      <family val="2"/>
    </font>
    <font>
      <b/>
      <sz val="10"/>
      <name val="Arial Narrow"/>
      <family val="2"/>
    </font>
    <font>
      <b/>
      <sz val="10"/>
      <color indexed="62"/>
      <name val="Arial"/>
      <family val="2"/>
    </font>
    <font>
      <sz val="10"/>
      <name val="CG Times"/>
      <family val="1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20"/>
      <name val="Arial Narrow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  <font>
      <b/>
      <sz val="11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4"/>
      <color indexed="10"/>
      <name val="Arial Narrow"/>
      <family val="2"/>
    </font>
    <font>
      <sz val="10"/>
      <color indexed="12"/>
      <name val="Arial"/>
      <family val="2"/>
    </font>
    <font>
      <sz val="16"/>
      <color indexed="10"/>
      <name val="Arial"/>
      <family val="2"/>
    </font>
    <font>
      <sz val="12"/>
      <name val="Arial"/>
      <family val="2"/>
    </font>
    <font>
      <b/>
      <sz val="22"/>
      <name val="Arial Narrow"/>
      <family val="2"/>
    </font>
    <font>
      <b/>
      <sz val="10"/>
      <color indexed="17"/>
      <name val="Arial"/>
      <family val="2"/>
    </font>
    <font>
      <b/>
      <sz val="10.5"/>
      <name val="Futura Lt BT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b/>
      <sz val="12"/>
      <color indexed="20"/>
      <name val="Arial"/>
      <family val="2"/>
    </font>
    <font>
      <b/>
      <sz val="8"/>
      <color indexed="10"/>
      <name val="Arial"/>
      <family val="2"/>
    </font>
    <font>
      <sz val="11"/>
      <name val="Arial"/>
      <family val="2"/>
    </font>
    <font>
      <b/>
      <sz val="14"/>
      <name val="Futura Lt BT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22"/>
      <name val="Arial"/>
      <family val="2"/>
    </font>
    <font>
      <sz val="12"/>
      <name val="Futura Lt BT"/>
      <family val="2"/>
    </font>
    <font>
      <b/>
      <sz val="11"/>
      <name val="Arial"/>
      <family val="2"/>
    </font>
    <font>
      <b/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8"/>
      <name val="Arial"/>
      <family val="2"/>
    </font>
    <font>
      <sz val="11"/>
      <name val="Futura Lt BT"/>
      <family val="2"/>
    </font>
    <font>
      <sz val="10"/>
      <name val="Arial"/>
      <family val="2"/>
    </font>
    <font>
      <sz val="10"/>
      <name val="Futura Lt BT"/>
      <family val="2"/>
    </font>
    <font>
      <b/>
      <sz val="11"/>
      <color indexed="18"/>
      <name val="Arial"/>
      <family val="2"/>
    </font>
    <font>
      <b/>
      <sz val="12"/>
      <name val="Futura Lt BT"/>
      <family val="2"/>
    </font>
    <font>
      <b/>
      <sz val="9"/>
      <name val="Futura Lt BT"/>
      <family val="2"/>
    </font>
    <font>
      <b/>
      <sz val="10"/>
      <name val="Futura Lt BT"/>
      <family val="2"/>
    </font>
    <font>
      <sz val="10"/>
      <name val="Albertus Xb (W1)"/>
      <family val="2"/>
    </font>
    <font>
      <b/>
      <sz val="10"/>
      <color indexed="56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indexed="18"/>
      <name val="Arial"/>
      <family val="2"/>
    </font>
    <font>
      <b/>
      <sz val="9"/>
      <name val="Arial"/>
      <family val="2"/>
    </font>
    <font>
      <b/>
      <sz val="10"/>
      <color rgb="FF000082"/>
      <name val="Arial"/>
      <family val="2"/>
    </font>
    <font>
      <sz val="11"/>
      <color indexed="18"/>
      <name val="Arial"/>
      <family val="2"/>
    </font>
    <font>
      <sz val="10"/>
      <color rgb="FFFF0000"/>
      <name val="Arial"/>
      <family val="2"/>
    </font>
    <font>
      <sz val="8"/>
      <color indexed="18"/>
      <name val="Arial"/>
      <family val="2"/>
    </font>
    <font>
      <sz val="9"/>
      <color indexed="18"/>
      <name val="Arial"/>
      <family val="2"/>
    </font>
    <font>
      <sz val="14"/>
      <name val="Arial"/>
      <family val="2"/>
    </font>
    <font>
      <b/>
      <sz val="14"/>
      <color indexed="20"/>
      <name val="Arial"/>
      <family val="2"/>
    </font>
    <font>
      <sz val="11"/>
      <color rgb="FFFF0000"/>
      <name val="Futura Lt BT"/>
      <family val="2"/>
    </font>
    <font>
      <sz val="12"/>
      <color rgb="FFFF0000"/>
      <name val="Futura Lt BT"/>
      <family val="2"/>
    </font>
    <font>
      <sz val="10"/>
      <color indexed="8"/>
      <name val="Arial"/>
      <family val="2"/>
    </font>
    <font>
      <b/>
      <sz val="10"/>
      <color rgb="FF000066"/>
      <name val="Arial"/>
      <family val="2"/>
    </font>
    <font>
      <b/>
      <sz val="12"/>
      <color indexed="22"/>
      <name val="Futura Lt BT"/>
      <family val="2"/>
    </font>
    <font>
      <sz val="9"/>
      <name val="Futura Lt BT"/>
      <family val="2"/>
    </font>
    <font>
      <b/>
      <sz val="10"/>
      <color indexed="20"/>
      <name val="Futura Lt BT"/>
      <family val="2"/>
    </font>
    <font>
      <b/>
      <sz val="12"/>
      <color indexed="18"/>
      <name val="Futura Lt BT"/>
      <family val="2"/>
    </font>
    <font>
      <b/>
      <sz val="10"/>
      <color indexed="18"/>
      <name val="Futura Lt BT"/>
      <family val="2"/>
    </font>
    <font>
      <b/>
      <sz val="10"/>
      <color indexed="60"/>
      <name val="Futura Lt BT"/>
      <family val="2"/>
    </font>
    <font>
      <sz val="10"/>
      <color indexed="18"/>
      <name val="Futura Lt BT"/>
      <family val="2"/>
    </font>
    <font>
      <b/>
      <sz val="10"/>
      <color rgb="FF000082"/>
      <name val="Futura Lt BT"/>
      <family val="2"/>
    </font>
    <font>
      <sz val="10"/>
      <color rgb="FFFF0000"/>
      <name val="Futura Lt BT"/>
      <family val="2"/>
    </font>
    <font>
      <b/>
      <sz val="11"/>
      <name val="Futura Lt BT"/>
      <family val="2"/>
    </font>
    <font>
      <sz val="12"/>
      <color indexed="18"/>
      <name val="Futura Lt BT"/>
      <family val="2"/>
    </font>
    <font>
      <b/>
      <sz val="12"/>
      <color rgb="FFC00000"/>
      <name val="Futura Lt BT"/>
      <family val="2"/>
    </font>
    <font>
      <b/>
      <sz val="16"/>
      <color rgb="FF000066"/>
      <name val="Arial Narrow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22"/>
      <name val="Arial Narrow"/>
      <family val="2"/>
    </font>
    <font>
      <sz val="24"/>
      <name val="Arial Narrow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rgb="FF000080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20"/>
      <name val="Arial"/>
      <family val="2"/>
    </font>
    <font>
      <sz val="14"/>
      <color theme="0"/>
      <name val="Arial"/>
      <family val="2"/>
    </font>
    <font>
      <b/>
      <sz val="10"/>
      <color indexed="60"/>
      <name val="Arial"/>
      <family val="2"/>
    </font>
    <font>
      <sz val="11"/>
      <color rgb="FF000000"/>
      <name val="Calibri"/>
      <family val="2"/>
      <charset val="204"/>
    </font>
    <font>
      <sz val="12"/>
      <color rgb="FFFF0000"/>
      <name val="Arial"/>
      <family val="2"/>
    </font>
    <font>
      <b/>
      <sz val="8"/>
      <color rgb="FFC00000"/>
      <name val="Calibri"/>
      <family val="2"/>
    </font>
    <font>
      <b/>
      <sz val="8"/>
      <color rgb="FFC00000"/>
      <name val="Calibri"/>
      <family val="2"/>
      <scheme val="minor"/>
    </font>
    <font>
      <b/>
      <sz val="8"/>
      <color indexed="20"/>
      <name val="Arial"/>
      <family val="2"/>
    </font>
    <font>
      <b/>
      <sz val="11"/>
      <color rgb="FFFF0000"/>
      <name val="Calibri"/>
      <family val="2"/>
    </font>
  </fonts>
  <fills count="7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indexed="46"/>
        <bgColor indexed="9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9"/>
      </patternFill>
    </fill>
    <fill>
      <patternFill patternType="solid">
        <fgColor rgb="FFB7DEE8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0"/>
      </patternFill>
    </fill>
    <fill>
      <patternFill patternType="solid">
        <fgColor rgb="FFFFFF99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0"/>
      </patternFill>
    </fill>
    <fill>
      <patternFill patternType="solid">
        <fgColor theme="6" tint="0.39997558519241921"/>
        <bgColor indexed="64"/>
      </patternFill>
    </fill>
  </fills>
  <borders count="2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8"/>
      </left>
      <right/>
      <top/>
      <bottom style="medium">
        <color indexed="64"/>
      </bottom>
      <diagonal/>
    </border>
    <border>
      <left style="double">
        <color indexed="8"/>
      </left>
      <right/>
      <top style="medium">
        <color indexed="64"/>
      </top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3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/>
      <top/>
      <bottom style="thin">
        <color indexed="64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double">
        <color indexed="8"/>
      </right>
      <top/>
      <bottom style="medium">
        <color indexed="64"/>
      </bottom>
      <diagonal/>
    </border>
    <border>
      <left/>
      <right style="double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/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64"/>
      </left>
      <right style="double">
        <color indexed="8"/>
      </right>
      <top/>
      <bottom/>
      <diagonal/>
    </border>
    <border>
      <left/>
      <right style="double">
        <color indexed="8"/>
      </right>
      <top/>
      <bottom style="thin">
        <color indexed="22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/>
      <right style="double">
        <color indexed="8"/>
      </right>
      <top style="thin">
        <color indexed="22"/>
      </top>
      <bottom style="thin">
        <color indexed="22"/>
      </bottom>
      <diagonal/>
    </border>
    <border>
      <left/>
      <right style="double">
        <color indexed="8"/>
      </right>
      <top style="medium">
        <color indexed="64"/>
      </top>
      <bottom style="medium">
        <color indexed="64"/>
      </bottom>
      <diagonal/>
    </border>
    <border>
      <left/>
      <right style="double">
        <color indexed="8"/>
      </right>
      <top style="medium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thin">
        <color indexed="22"/>
      </top>
      <bottom/>
      <diagonal/>
    </border>
    <border>
      <left style="thin">
        <color indexed="8"/>
      </left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 style="double">
        <color indexed="8"/>
      </right>
      <top style="thin">
        <color indexed="22"/>
      </top>
      <bottom/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3"/>
      </right>
      <top/>
      <bottom style="thin">
        <color indexed="22"/>
      </bottom>
      <diagonal/>
    </border>
    <border>
      <left style="thin">
        <color indexed="63"/>
      </left>
      <right style="thin">
        <color indexed="63"/>
      </right>
      <top/>
      <bottom style="thin">
        <color indexed="22"/>
      </bottom>
      <diagonal/>
    </border>
    <border>
      <left style="thin">
        <color indexed="63"/>
      </left>
      <right style="thin">
        <color indexed="64"/>
      </right>
      <top/>
      <bottom style="thin">
        <color indexed="22"/>
      </bottom>
      <diagonal/>
    </border>
    <border>
      <left/>
      <right style="thin">
        <color indexed="63"/>
      </right>
      <top/>
      <bottom style="thin">
        <color indexed="22"/>
      </bottom>
      <diagonal/>
    </border>
    <border>
      <left style="thin">
        <color indexed="64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3"/>
      </right>
      <top style="thin">
        <color indexed="22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63"/>
      </bottom>
      <diagonal/>
    </border>
    <border>
      <left/>
      <right style="thin">
        <color indexed="63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22"/>
      </top>
      <bottom/>
      <diagonal/>
    </border>
    <border>
      <left style="thin">
        <color indexed="63"/>
      </left>
      <right style="thin">
        <color indexed="63"/>
      </right>
      <top style="thin">
        <color indexed="22"/>
      </top>
      <bottom/>
      <diagonal/>
    </border>
    <border>
      <left style="thin">
        <color indexed="63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/>
      <right style="thin">
        <color indexed="63"/>
      </right>
      <top style="thin">
        <color indexed="63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64"/>
      </bottom>
      <diagonal/>
    </border>
    <border>
      <left/>
      <right style="double">
        <color indexed="8"/>
      </right>
      <top style="thin">
        <color indexed="22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22"/>
      </bottom>
      <diagonal/>
    </border>
    <border>
      <left/>
      <right style="thin">
        <color indexed="8"/>
      </right>
      <top style="thin">
        <color indexed="64"/>
      </top>
      <bottom style="thin">
        <color indexed="22"/>
      </bottom>
      <diagonal/>
    </border>
    <border>
      <left style="thin">
        <color indexed="8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22"/>
      </bottom>
      <diagonal/>
    </border>
    <border>
      <left/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/>
      <top/>
      <bottom style="thin">
        <color indexed="22"/>
      </bottom>
      <diagonal/>
    </border>
    <border>
      <left/>
      <right style="thin">
        <color indexed="8"/>
      </right>
      <top/>
      <bottom style="thin">
        <color indexed="22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22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theme="0" tint="-0.24994659260841701"/>
      </bottom>
      <diagonal/>
    </border>
    <border>
      <left style="thin">
        <color indexed="8"/>
      </left>
      <right/>
      <top style="thin">
        <color indexed="8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8"/>
      </top>
      <bottom style="thin">
        <color theme="0" tint="-0.24994659260841701"/>
      </bottom>
      <diagonal/>
    </border>
    <border>
      <left/>
      <right style="thin">
        <color indexed="8"/>
      </right>
      <top style="thin">
        <color indexed="8"/>
      </top>
      <bottom style="thin">
        <color theme="0" tint="-0.24994659260841701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8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8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8"/>
      </left>
      <right style="double">
        <color indexed="8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3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3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80">
    <xf numFmtId="0" fontId="0" fillId="0" borderId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5" borderId="0" applyNumberFormat="0" applyBorder="0" applyAlignment="0" applyProtection="0"/>
    <xf numFmtId="0" fontId="78" fillId="8" borderId="0" applyNumberFormat="0" applyBorder="0" applyAlignment="0" applyProtection="0"/>
    <xf numFmtId="0" fontId="78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9" borderId="0" applyNumberFormat="0" applyBorder="0" applyAlignment="0" applyProtection="0"/>
    <xf numFmtId="0" fontId="80" fillId="3" borderId="0" applyNumberFormat="0" applyBorder="0" applyAlignment="0" applyProtection="0"/>
    <xf numFmtId="0" fontId="81" fillId="20" borderId="1" applyNumberFormat="0" applyAlignment="0" applyProtection="0"/>
    <xf numFmtId="0" fontId="82" fillId="21" borderId="2" applyNumberFormat="0" applyAlignment="0" applyProtection="0"/>
    <xf numFmtId="43" fontId="8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05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4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7" borderId="1" applyNumberFormat="0" applyAlignment="0" applyProtection="0"/>
    <xf numFmtId="0" fontId="89" fillId="0" borderId="6" applyNumberFormat="0" applyFill="0" applyAlignment="0" applyProtection="0"/>
    <xf numFmtId="0" fontId="90" fillId="22" borderId="0" applyNumberFormat="0" applyBorder="0" applyAlignment="0" applyProtection="0"/>
    <xf numFmtId="0" fontId="10" fillId="0" borderId="0"/>
    <xf numFmtId="0" fontId="45" fillId="0" borderId="0"/>
    <xf numFmtId="0" fontId="10" fillId="23" borderId="7" applyNumberFormat="0" applyFont="0" applyAlignment="0" applyProtection="0"/>
    <xf numFmtId="0" fontId="91" fillId="20" borderId="8" applyNumberFormat="0" applyAlignment="0" applyProtection="0"/>
    <xf numFmtId="9" fontId="8" fillId="0" borderId="0" applyFont="0" applyFill="0" applyBorder="0" applyAlignment="0" applyProtection="0"/>
    <xf numFmtId="9" fontId="105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118" fillId="0" borderId="0"/>
    <xf numFmtId="0" fontId="8" fillId="0" borderId="0"/>
    <xf numFmtId="43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" fillId="0" borderId="0"/>
    <xf numFmtId="0" fontId="45" fillId="0" borderId="0"/>
    <xf numFmtId="0" fontId="45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/>
    <xf numFmtId="0" fontId="146" fillId="0" borderId="0"/>
    <xf numFmtId="43" fontId="1" fillId="0" borderId="0" applyFont="0" applyFill="0" applyBorder="0" applyAlignment="0" applyProtection="0"/>
  </cellStyleXfs>
  <cellXfs count="1917">
    <xf numFmtId="0" fontId="0" fillId="0" borderId="0" xfId="0"/>
    <xf numFmtId="0" fontId="10" fillId="0" borderId="0" xfId="0" applyFont="1" applyAlignment="1">
      <alignment horizontal="center"/>
    </xf>
    <xf numFmtId="0" fontId="10" fillId="0" borderId="0" xfId="0" applyFont="1"/>
    <xf numFmtId="165" fontId="10" fillId="0" borderId="0" xfId="28" applyNumberFormat="1" applyFont="1"/>
    <xf numFmtId="167" fontId="10" fillId="0" borderId="0" xfId="0" applyNumberFormat="1" applyFont="1"/>
    <xf numFmtId="3" fontId="10" fillId="0" borderId="0" xfId="0" applyNumberFormat="1" applyFont="1"/>
    <xf numFmtId="6" fontId="10" fillId="0" borderId="0" xfId="0" applyNumberFormat="1" applyFont="1"/>
    <xf numFmtId="0" fontId="11" fillId="0" borderId="0" xfId="0" applyFont="1" applyAlignment="1">
      <alignment horizontal="center"/>
    </xf>
    <xf numFmtId="0" fontId="12" fillId="0" borderId="0" xfId="0" applyFont="1"/>
    <xf numFmtId="0" fontId="10" fillId="0" borderId="10" xfId="0" applyFont="1" applyBorder="1" applyAlignment="1">
      <alignment horizontal="center"/>
    </xf>
    <xf numFmtId="0" fontId="10" fillId="0" borderId="10" xfId="0" applyFont="1" applyBorder="1"/>
    <xf numFmtId="0" fontId="10" fillId="0" borderId="11" xfId="0" applyFont="1" applyBorder="1"/>
    <xf numFmtId="3" fontId="10" fillId="0" borderId="11" xfId="0" applyNumberFormat="1" applyFont="1" applyBorder="1" applyAlignment="1">
      <alignment horizontal="center"/>
    </xf>
    <xf numFmtId="3" fontId="10" fillId="0" borderId="11" xfId="0" applyNumberFormat="1" applyFont="1" applyBorder="1"/>
    <xf numFmtId="166" fontId="10" fillId="0" borderId="11" xfId="0" applyNumberFormat="1" applyFont="1" applyBorder="1"/>
    <xf numFmtId="3" fontId="10" fillId="0" borderId="11" xfId="28" applyNumberFormat="1" applyFont="1" applyBorder="1"/>
    <xf numFmtId="10" fontId="10" fillId="0" borderId="11" xfId="48" applyNumberFormat="1" applyFont="1" applyBorder="1"/>
    <xf numFmtId="0" fontId="10" fillId="0" borderId="12" xfId="0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13" xfId="0" applyNumberFormat="1" applyFont="1" applyBorder="1"/>
    <xf numFmtId="166" fontId="10" fillId="0" borderId="13" xfId="0" applyNumberFormat="1" applyFont="1" applyBorder="1"/>
    <xf numFmtId="3" fontId="10" fillId="0" borderId="14" xfId="0" applyNumberFormat="1" applyFont="1" applyBorder="1"/>
    <xf numFmtId="0" fontId="11" fillId="0" borderId="0" xfId="0" applyFont="1"/>
    <xf numFmtId="5" fontId="10" fillId="0" borderId="0" xfId="0" applyNumberFormat="1" applyFont="1"/>
    <xf numFmtId="0" fontId="13" fillId="0" borderId="15" xfId="0" applyFont="1" applyFill="1" applyBorder="1"/>
    <xf numFmtId="0" fontId="13" fillId="0" borderId="16" xfId="0" applyFont="1" applyFill="1" applyBorder="1"/>
    <xf numFmtId="0" fontId="14" fillId="0" borderId="17" xfId="0" applyFont="1" applyFill="1" applyBorder="1"/>
    <xf numFmtId="0" fontId="13" fillId="0" borderId="18" xfId="0" applyFont="1" applyFill="1" applyBorder="1" applyAlignment="1">
      <alignment horizontal="left"/>
    </xf>
    <xf numFmtId="5" fontId="15" fillId="0" borderId="19" xfId="0" applyNumberFormat="1" applyFont="1" applyFill="1" applyBorder="1" applyProtection="1"/>
    <xf numFmtId="0" fontId="13" fillId="0" borderId="20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center"/>
    </xf>
    <xf numFmtId="0" fontId="13" fillId="0" borderId="18" xfId="0" applyFont="1" applyFill="1" applyBorder="1"/>
    <xf numFmtId="0" fontId="15" fillId="0" borderId="18" xfId="0" applyFont="1" applyFill="1" applyBorder="1"/>
    <xf numFmtId="0" fontId="13" fillId="0" borderId="18" xfId="0" applyFont="1" applyFill="1" applyBorder="1" applyAlignment="1">
      <alignment horizontal="center"/>
    </xf>
    <xf numFmtId="7" fontId="11" fillId="0" borderId="0" xfId="32" applyNumberFormat="1" applyFont="1"/>
    <xf numFmtId="0" fontId="0" fillId="0" borderId="0" xfId="0" applyBorder="1"/>
    <xf numFmtId="3" fontId="10" fillId="0" borderId="10" xfId="0" applyNumberFormat="1" applyFont="1" applyBorder="1"/>
    <xf numFmtId="0" fontId="12" fillId="24" borderId="0" xfId="0" applyFont="1" applyFill="1" applyBorder="1" applyProtection="1"/>
    <xf numFmtId="0" fontId="12" fillId="24" borderId="0" xfId="0" applyFont="1" applyFill="1" applyBorder="1" applyAlignment="1" applyProtection="1">
      <alignment horizontal="center"/>
    </xf>
    <xf numFmtId="0" fontId="20" fillId="0" borderId="17" xfId="0" applyFont="1" applyFill="1" applyBorder="1" applyAlignment="1">
      <alignment horizontal="left"/>
    </xf>
    <xf numFmtId="5" fontId="20" fillId="0" borderId="23" xfId="0" applyNumberFormat="1" applyFont="1" applyFill="1" applyBorder="1" applyProtection="1"/>
    <xf numFmtId="0" fontId="23" fillId="0" borderId="24" xfId="0" applyFont="1" applyFill="1" applyBorder="1" applyAlignment="1">
      <alignment horizontal="center"/>
    </xf>
    <xf numFmtId="0" fontId="25" fillId="0" borderId="25" xfId="0" applyFont="1" applyFill="1" applyBorder="1" applyAlignment="1">
      <alignment horizontal="center"/>
    </xf>
    <xf numFmtId="0" fontId="27" fillId="0" borderId="12" xfId="0" applyFont="1" applyBorder="1"/>
    <xf numFmtId="6" fontId="27" fillId="0" borderId="12" xfId="0" applyNumberFormat="1" applyFont="1" applyBorder="1"/>
    <xf numFmtId="8" fontId="27" fillId="0" borderId="12" xfId="0" applyNumberFormat="1" applyFont="1" applyBorder="1"/>
    <xf numFmtId="0" fontId="27" fillId="25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0" fillId="0" borderId="0" xfId="0" applyFont="1" applyBorder="1" applyAlignment="1">
      <alignment horizontal="center" vertical="center"/>
    </xf>
    <xf numFmtId="6" fontId="0" fillId="0" borderId="0" xfId="0" applyNumberFormat="1"/>
    <xf numFmtId="0" fontId="13" fillId="0" borderId="0" xfId="0" applyFont="1" applyFill="1" applyBorder="1" applyAlignment="1">
      <alignment horizontal="left" vertical="top"/>
    </xf>
    <xf numFmtId="0" fontId="13" fillId="0" borderId="25" xfId="0" applyFont="1" applyFill="1" applyBorder="1" applyAlignment="1">
      <alignment horizontal="left" vertical="top"/>
    </xf>
    <xf numFmtId="0" fontId="13" fillId="0" borderId="28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left"/>
    </xf>
    <xf numFmtId="5" fontId="15" fillId="0" borderId="30" xfId="0" applyNumberFormat="1" applyFont="1" applyFill="1" applyBorder="1" applyProtection="1"/>
    <xf numFmtId="0" fontId="13" fillId="0" borderId="31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left"/>
    </xf>
    <xf numFmtId="5" fontId="15" fillId="0" borderId="32" xfId="0" applyNumberFormat="1" applyFont="1" applyFill="1" applyBorder="1" applyProtection="1"/>
    <xf numFmtId="6" fontId="0" fillId="0" borderId="13" xfId="0" applyNumberFormat="1" applyBorder="1"/>
    <xf numFmtId="5" fontId="0" fillId="0" borderId="0" xfId="0" applyNumberFormat="1"/>
    <xf numFmtId="10" fontId="11" fillId="0" borderId="0" xfId="48" applyNumberFormat="1" applyFont="1"/>
    <xf numFmtId="164" fontId="10" fillId="0" borderId="0" xfId="28" applyNumberFormat="1" applyFont="1"/>
    <xf numFmtId="0" fontId="0" fillId="0" borderId="0" xfId="0" applyAlignment="1">
      <alignment horizontal="right"/>
    </xf>
    <xf numFmtId="165" fontId="10" fillId="26" borderId="26" xfId="28" applyNumberFormat="1" applyFont="1" applyFill="1" applyBorder="1" applyAlignment="1">
      <alignment horizontal="center"/>
    </xf>
    <xf numFmtId="0" fontId="10" fillId="0" borderId="0" xfId="0" applyFont="1" applyBorder="1"/>
    <xf numFmtId="169" fontId="10" fillId="0" borderId="11" xfId="48" applyNumberFormat="1" applyFont="1" applyBorder="1"/>
    <xf numFmtId="169" fontId="10" fillId="0" borderId="13" xfId="48" applyNumberFormat="1" applyFont="1" applyBorder="1"/>
    <xf numFmtId="0" fontId="27" fillId="25" borderId="10" xfId="0" applyFont="1" applyFill="1" applyBorder="1" applyAlignment="1">
      <alignment horizontal="center" vertical="center" wrapText="1"/>
    </xf>
    <xf numFmtId="0" fontId="10" fillId="0" borderId="33" xfId="0" applyFont="1" applyBorder="1"/>
    <xf numFmtId="3" fontId="10" fillId="0" borderId="34" xfId="0" applyNumberFormat="1" applyFont="1" applyBorder="1"/>
    <xf numFmtId="3" fontId="10" fillId="0" borderId="35" xfId="0" applyNumberFormat="1" applyFont="1" applyBorder="1"/>
    <xf numFmtId="165" fontId="10" fillId="26" borderId="36" xfId="28" applyNumberFormat="1" applyFont="1" applyFill="1" applyBorder="1" applyAlignment="1">
      <alignment horizontal="center"/>
    </xf>
    <xf numFmtId="0" fontId="15" fillId="0" borderId="18" xfId="0" applyFont="1" applyFill="1" applyBorder="1" applyAlignment="1">
      <alignment horizontal="left"/>
    </xf>
    <xf numFmtId="0" fontId="36" fillId="0" borderId="0" xfId="0" applyFont="1" applyAlignment="1">
      <alignment horizontal="center" wrapText="1"/>
    </xf>
    <xf numFmtId="0" fontId="36" fillId="0" borderId="0" xfId="0" quotePrefix="1" applyFont="1" applyAlignment="1">
      <alignment horizontal="center" wrapText="1"/>
    </xf>
    <xf numFmtId="0" fontId="0" fillId="0" borderId="0" xfId="0" applyFill="1"/>
    <xf numFmtId="37" fontId="27" fillId="0" borderId="12" xfId="28" applyNumberFormat="1" applyFont="1" applyBorder="1"/>
    <xf numFmtId="166" fontId="10" fillId="0" borderId="11" xfId="0" applyNumberFormat="1" applyFont="1" applyFill="1" applyBorder="1"/>
    <xf numFmtId="166" fontId="10" fillId="0" borderId="13" xfId="0" applyNumberFormat="1" applyFont="1" applyFill="1" applyBorder="1"/>
    <xf numFmtId="5" fontId="15" fillId="0" borderId="22" xfId="0" applyNumberFormat="1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/>
    </xf>
    <xf numFmtId="3" fontId="10" fillId="0" borderId="11" xfId="0" applyNumberFormat="1" applyFont="1" applyFill="1" applyBorder="1"/>
    <xf numFmtId="3" fontId="10" fillId="0" borderId="13" xfId="0" applyNumberFormat="1" applyFont="1" applyFill="1" applyBorder="1"/>
    <xf numFmtId="0" fontId="23" fillId="0" borderId="18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left"/>
    </xf>
    <xf numFmtId="5" fontId="23" fillId="0" borderId="19" xfId="0" applyNumberFormat="1" applyFont="1" applyFill="1" applyBorder="1" applyProtection="1"/>
    <xf numFmtId="0" fontId="23" fillId="0" borderId="18" xfId="0" applyFont="1" applyFill="1" applyBorder="1"/>
    <xf numFmtId="0" fontId="23" fillId="0" borderId="37" xfId="0" quotePrefix="1" applyFont="1" applyFill="1" applyBorder="1" applyAlignment="1">
      <alignment horizontal="left" vertical="center"/>
    </xf>
    <xf numFmtId="0" fontId="23" fillId="0" borderId="37" xfId="0" applyFont="1" applyFill="1" applyBorder="1" applyAlignment="1">
      <alignment horizontal="left" vertical="center"/>
    </xf>
    <xf numFmtId="5" fontId="23" fillId="0" borderId="38" xfId="0" applyNumberFormat="1" applyFont="1" applyFill="1" applyBorder="1" applyAlignment="1" applyProtection="1">
      <alignment vertical="center"/>
    </xf>
    <xf numFmtId="0" fontId="23" fillId="27" borderId="28" xfId="0" applyFont="1" applyFill="1" applyBorder="1" applyAlignment="1">
      <alignment horizontal="left"/>
    </xf>
    <xf numFmtId="0" fontId="40" fillId="27" borderId="28" xfId="0" applyFont="1" applyFill="1" applyBorder="1"/>
    <xf numFmtId="5" fontId="23" fillId="27" borderId="38" xfId="0" applyNumberFormat="1" applyFont="1" applyFill="1" applyBorder="1" applyAlignment="1" applyProtection="1">
      <alignment vertical="center"/>
    </xf>
    <xf numFmtId="0" fontId="23" fillId="27" borderId="37" xfId="0" applyFont="1" applyFill="1" applyBorder="1" applyAlignment="1">
      <alignment horizontal="left" vertical="center"/>
    </xf>
    <xf numFmtId="0" fontId="27" fillId="0" borderId="0" xfId="0" applyFont="1" applyBorder="1"/>
    <xf numFmtId="37" fontId="27" fillId="0" borderId="0" xfId="28" applyNumberFormat="1" applyFont="1" applyBorder="1"/>
    <xf numFmtId="8" fontId="27" fillId="0" borderId="0" xfId="0" applyNumberFormat="1" applyFont="1" applyBorder="1"/>
    <xf numFmtId="6" fontId="27" fillId="0" borderId="0" xfId="0" applyNumberFormat="1" applyFont="1" applyBorder="1"/>
    <xf numFmtId="0" fontId="23" fillId="27" borderId="37" xfId="0" quotePrefix="1" applyFont="1" applyFill="1" applyBorder="1" applyAlignment="1">
      <alignment horizontal="left" vertical="center"/>
    </xf>
    <xf numFmtId="0" fontId="10" fillId="0" borderId="39" xfId="0" applyFont="1" applyFill="1" applyBorder="1" applyProtection="1"/>
    <xf numFmtId="0" fontId="10" fillId="0" borderId="40" xfId="0" applyFont="1" applyFill="1" applyBorder="1" applyProtection="1"/>
    <xf numFmtId="3" fontId="10" fillId="0" borderId="11" xfId="0" applyNumberFormat="1" applyFont="1" applyFill="1" applyBorder="1" applyAlignment="1">
      <alignment horizontal="center"/>
    </xf>
    <xf numFmtId="3" fontId="10" fillId="0" borderId="13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27" fillId="0" borderId="12" xfId="0" applyFont="1" applyFill="1" applyBorder="1"/>
    <xf numFmtId="3" fontId="27" fillId="0" borderId="12" xfId="0" applyNumberFormat="1" applyFont="1" applyFill="1" applyBorder="1"/>
    <xf numFmtId="0" fontId="10" fillId="0" borderId="0" xfId="0" applyFont="1" applyFill="1" applyAlignment="1">
      <alignment horizontal="center"/>
    </xf>
    <xf numFmtId="0" fontId="10" fillId="0" borderId="0" xfId="0" applyFont="1" applyFill="1"/>
    <xf numFmtId="165" fontId="10" fillId="0" borderId="0" xfId="28" applyNumberFormat="1" applyFont="1" applyFill="1"/>
    <xf numFmtId="7" fontId="11" fillId="0" borderId="0" xfId="32" applyNumberFormat="1" applyFont="1" applyFill="1" applyAlignment="1">
      <alignment horizontal="center"/>
    </xf>
    <xf numFmtId="7" fontId="11" fillId="0" borderId="0" xfId="32" applyNumberFormat="1" applyFont="1" applyFill="1"/>
    <xf numFmtId="0" fontId="23" fillId="0" borderId="41" xfId="0" applyFont="1" applyFill="1" applyBorder="1" applyAlignment="1">
      <alignment horizontal="center"/>
    </xf>
    <xf numFmtId="0" fontId="36" fillId="0" borderId="42" xfId="0" applyFont="1" applyBorder="1" applyAlignment="1">
      <alignment horizontal="center" vertical="center" wrapText="1"/>
    </xf>
    <xf numFmtId="0" fontId="36" fillId="0" borderId="26" xfId="0" quotePrefix="1" applyFont="1" applyBorder="1" applyAlignment="1">
      <alignment horizontal="center" vertical="center" wrapText="1"/>
    </xf>
    <xf numFmtId="0" fontId="0" fillId="26" borderId="26" xfId="0" applyFill="1" applyBorder="1"/>
    <xf numFmtId="0" fontId="0" fillId="0" borderId="11" xfId="0" applyBorder="1"/>
    <xf numFmtId="0" fontId="12" fillId="0" borderId="0" xfId="0" applyFont="1" applyBorder="1"/>
    <xf numFmtId="0" fontId="10" fillId="0" borderId="43" xfId="0" applyFont="1" applyBorder="1"/>
    <xf numFmtId="0" fontId="36" fillId="0" borderId="10" xfId="0" quotePrefix="1" applyFont="1" applyBorder="1" applyAlignment="1">
      <alignment horizontal="center" vertical="center" wrapText="1"/>
    </xf>
    <xf numFmtId="0" fontId="36" fillId="0" borderId="44" xfId="0" quotePrefix="1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/>
    </xf>
    <xf numFmtId="0" fontId="36" fillId="0" borderId="0" xfId="0" applyFont="1" applyBorder="1" applyAlignment="1">
      <alignment horizontal="center" wrapText="1"/>
    </xf>
    <xf numFmtId="38" fontId="10" fillId="0" borderId="11" xfId="0" applyNumberFormat="1" applyFont="1" applyBorder="1"/>
    <xf numFmtId="0" fontId="36" fillId="0" borderId="26" xfId="0" quotePrefix="1" applyFont="1" applyFill="1" applyBorder="1" applyAlignment="1">
      <alignment horizontal="center" vertical="center"/>
    </xf>
    <xf numFmtId="0" fontId="38" fillId="0" borderId="10" xfId="0" quotePrefix="1" applyFont="1" applyBorder="1" applyAlignment="1">
      <alignment horizontal="center" vertical="center" wrapText="1"/>
    </xf>
    <xf numFmtId="0" fontId="12" fillId="0" borderId="45" xfId="0" applyFont="1" applyBorder="1" applyAlignment="1" applyProtection="1">
      <alignment horizontal="center"/>
    </xf>
    <xf numFmtId="0" fontId="36" fillId="0" borderId="0" xfId="0" applyFont="1" applyBorder="1" applyAlignment="1">
      <alignment horizontal="center" vertical="center" wrapText="1"/>
    </xf>
    <xf numFmtId="40" fontId="10" fillId="0" borderId="11" xfId="0" applyNumberFormat="1" applyFont="1" applyFill="1" applyBorder="1"/>
    <xf numFmtId="40" fontId="10" fillId="0" borderId="13" xfId="0" applyNumberFormat="1" applyFont="1" applyFill="1" applyBorder="1"/>
    <xf numFmtId="10" fontId="10" fillId="0" borderId="11" xfId="48" applyNumberFormat="1" applyFont="1" applyFill="1" applyBorder="1"/>
    <xf numFmtId="10" fontId="10" fillId="0" borderId="13" xfId="48" applyNumberFormat="1" applyFont="1" applyFill="1" applyBorder="1"/>
    <xf numFmtId="0" fontId="14" fillId="0" borderId="26" xfId="0" applyFont="1" applyBorder="1" applyAlignment="1">
      <alignment horizontal="center" wrapText="1"/>
    </xf>
    <xf numFmtId="0" fontId="10" fillId="0" borderId="10" xfId="0" applyFont="1" applyFill="1" applyBorder="1"/>
    <xf numFmtId="0" fontId="10" fillId="0" borderId="46" xfId="0" applyFont="1" applyBorder="1"/>
    <xf numFmtId="0" fontId="10" fillId="0" borderId="47" xfId="0" applyFont="1" applyFill="1" applyBorder="1" applyProtection="1"/>
    <xf numFmtId="5" fontId="10" fillId="0" borderId="0" xfId="0" applyNumberFormat="1" applyFont="1" applyBorder="1"/>
    <xf numFmtId="10" fontId="15" fillId="0" borderId="19" xfId="48" applyNumberFormat="1" applyFont="1" applyFill="1" applyBorder="1" applyProtection="1"/>
    <xf numFmtId="43" fontId="15" fillId="0" borderId="19" xfId="28" applyFont="1" applyFill="1" applyBorder="1" applyProtection="1"/>
    <xf numFmtId="0" fontId="10" fillId="0" borderId="0" xfId="0" applyFont="1" applyFill="1" applyBorder="1"/>
    <xf numFmtId="165" fontId="15" fillId="0" borderId="19" xfId="28" applyNumberFormat="1" applyFont="1" applyFill="1" applyBorder="1" applyProtection="1"/>
    <xf numFmtId="3" fontId="10" fillId="0" borderId="11" xfId="0" applyNumberFormat="1" applyFont="1" applyFill="1" applyBorder="1" applyAlignment="1">
      <alignment horizontal="left"/>
    </xf>
    <xf numFmtId="8" fontId="10" fillId="0" borderId="0" xfId="0" applyNumberFormat="1" applyFont="1"/>
    <xf numFmtId="0" fontId="12" fillId="0" borderId="0" xfId="0" applyFont="1" applyFill="1" applyBorder="1" applyAlignment="1">
      <alignment horizontal="center"/>
    </xf>
    <xf numFmtId="0" fontId="10" fillId="0" borderId="0" xfId="0" quotePrefix="1" applyFont="1" applyBorder="1"/>
    <xf numFmtId="0" fontId="44" fillId="0" borderId="0" xfId="0" quotePrefix="1" applyFont="1" applyBorder="1" applyAlignment="1">
      <alignment horizontal="left"/>
    </xf>
    <xf numFmtId="2" fontId="10" fillId="0" borderId="11" xfId="0" applyNumberFormat="1" applyFont="1" applyBorder="1"/>
    <xf numFmtId="4" fontId="10" fillId="0" borderId="11" xfId="28" applyNumberFormat="1" applyFont="1" applyBorder="1"/>
    <xf numFmtId="4" fontId="10" fillId="0" borderId="34" xfId="28" applyNumberFormat="1" applyFont="1" applyBorder="1"/>
    <xf numFmtId="2" fontId="10" fillId="0" borderId="13" xfId="0" applyNumberFormat="1" applyFont="1" applyBorder="1"/>
    <xf numFmtId="4" fontId="10" fillId="0" borderId="13" xfId="28" applyNumberFormat="1" applyFont="1" applyBorder="1"/>
    <xf numFmtId="4" fontId="10" fillId="0" borderId="35" xfId="28" applyNumberFormat="1" applyFont="1" applyBorder="1"/>
    <xf numFmtId="0" fontId="36" fillId="0" borderId="0" xfId="0" quotePrefix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0" fontId="10" fillId="0" borderId="11" xfId="0" applyNumberFormat="1" applyFont="1" applyFill="1" applyBorder="1"/>
    <xf numFmtId="10" fontId="10" fillId="0" borderId="13" xfId="0" applyNumberFormat="1" applyFont="1" applyFill="1" applyBorder="1"/>
    <xf numFmtId="5" fontId="27" fillId="0" borderId="12" xfId="32" applyNumberFormat="1" applyFont="1" applyBorder="1" applyAlignment="1">
      <alignment horizontal="right"/>
    </xf>
    <xf numFmtId="3" fontId="10" fillId="0" borderId="34" xfId="0" applyNumberFormat="1" applyFont="1" applyFill="1" applyBorder="1"/>
    <xf numFmtId="2" fontId="10" fillId="0" borderId="11" xfId="0" applyNumberFormat="1" applyFont="1" applyFill="1" applyBorder="1"/>
    <xf numFmtId="4" fontId="10" fillId="0" borderId="11" xfId="28" applyNumberFormat="1" applyFont="1" applyFill="1" applyBorder="1"/>
    <xf numFmtId="4" fontId="10" fillId="0" borderId="34" xfId="28" applyNumberFormat="1" applyFont="1" applyFill="1" applyBorder="1"/>
    <xf numFmtId="3" fontId="0" fillId="0" borderId="0" xfId="0" applyNumberFormat="1"/>
    <xf numFmtId="166" fontId="10" fillId="0" borderId="34" xfId="0" applyNumberFormat="1" applyFont="1" applyFill="1" applyBorder="1"/>
    <xf numFmtId="166" fontId="10" fillId="0" borderId="35" xfId="0" applyNumberFormat="1" applyFont="1" applyFill="1" applyBorder="1"/>
    <xf numFmtId="0" fontId="14" fillId="0" borderId="26" xfId="0" applyFont="1" applyBorder="1"/>
    <xf numFmtId="0" fontId="13" fillId="0" borderId="48" xfId="0" applyFont="1" applyFill="1" applyBorder="1" applyAlignment="1">
      <alignment horizontal="left" vertical="center" wrapText="1"/>
    </xf>
    <xf numFmtId="7" fontId="22" fillId="0" borderId="0" xfId="32" quotePrefix="1" applyNumberFormat="1" applyFont="1" applyFill="1" applyAlignment="1">
      <alignment horizontal="center"/>
    </xf>
    <xf numFmtId="3" fontId="10" fillId="0" borderId="0" xfId="0" applyNumberFormat="1" applyFont="1" applyFill="1" applyBorder="1"/>
    <xf numFmtId="3" fontId="10" fillId="0" borderId="0" xfId="0" applyNumberFormat="1" applyFont="1" applyFill="1"/>
    <xf numFmtId="0" fontId="13" fillId="0" borderId="0" xfId="0" applyFont="1" applyFill="1" applyBorder="1" applyAlignment="1">
      <alignment horizontal="left"/>
    </xf>
    <xf numFmtId="0" fontId="23" fillId="0" borderId="14" xfId="0" applyFont="1" applyFill="1" applyBorder="1" applyAlignment="1">
      <alignment horizontal="left"/>
    </xf>
    <xf numFmtId="5" fontId="23" fillId="0" borderId="0" xfId="0" applyNumberFormat="1" applyFont="1" applyFill="1" applyBorder="1" applyProtection="1"/>
    <xf numFmtId="0" fontId="13" fillId="0" borderId="51" xfId="0" applyFont="1" applyFill="1" applyBorder="1" applyAlignment="1">
      <alignment horizontal="left"/>
    </xf>
    <xf numFmtId="0" fontId="13" fillId="0" borderId="0" xfId="0" applyFont="1" applyFill="1" applyBorder="1"/>
    <xf numFmtId="0" fontId="41" fillId="0" borderId="0" xfId="0" applyFont="1" applyBorder="1"/>
    <xf numFmtId="0" fontId="0" fillId="0" borderId="0" xfId="0" applyFill="1" applyBorder="1"/>
    <xf numFmtId="0" fontId="13" fillId="0" borderId="0" xfId="0" quotePrefix="1" applyFont="1" applyFill="1" applyBorder="1" applyAlignment="1">
      <alignment horizontal="center"/>
    </xf>
    <xf numFmtId="0" fontId="23" fillId="0" borderId="51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3" fillId="0" borderId="52" xfId="0" applyFont="1" applyFill="1" applyBorder="1"/>
    <xf numFmtId="0" fontId="14" fillId="0" borderId="53" xfId="0" applyFont="1" applyFill="1" applyBorder="1"/>
    <xf numFmtId="0" fontId="13" fillId="0" borderId="52" xfId="0" applyFont="1" applyFill="1" applyBorder="1" applyAlignment="1">
      <alignment horizontal="center" vertical="top"/>
    </xf>
    <xf numFmtId="0" fontId="13" fillId="0" borderId="52" xfId="0" applyFont="1" applyFill="1" applyBorder="1" applyAlignment="1">
      <alignment horizontal="center"/>
    </xf>
    <xf numFmtId="0" fontId="13" fillId="0" borderId="54" xfId="0" applyFont="1" applyFill="1" applyBorder="1" applyAlignment="1">
      <alignment horizontal="center"/>
    </xf>
    <xf numFmtId="0" fontId="13" fillId="0" borderId="55" xfId="0" applyFont="1" applyFill="1" applyBorder="1" applyAlignment="1">
      <alignment horizontal="center"/>
    </xf>
    <xf numFmtId="0" fontId="13" fillId="0" borderId="56" xfId="0" applyFont="1" applyFill="1" applyBorder="1" applyAlignment="1">
      <alignment horizontal="center"/>
    </xf>
    <xf numFmtId="0" fontId="23" fillId="0" borderId="57" xfId="0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40" fillId="27" borderId="54" xfId="0" applyFont="1" applyFill="1" applyBorder="1"/>
    <xf numFmtId="0" fontId="0" fillId="0" borderId="52" xfId="0" applyBorder="1"/>
    <xf numFmtId="0" fontId="15" fillId="0" borderId="52" xfId="0" applyFont="1" applyFill="1" applyBorder="1"/>
    <xf numFmtId="0" fontId="23" fillId="27" borderId="57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/>
    </xf>
    <xf numFmtId="7" fontId="11" fillId="0" borderId="0" xfId="32" applyNumberFormat="1" applyFont="1" applyFill="1" applyBorder="1"/>
    <xf numFmtId="6" fontId="10" fillId="0" borderId="0" xfId="0" applyNumberFormat="1" applyFont="1" applyFill="1" applyBorder="1"/>
    <xf numFmtId="0" fontId="10" fillId="0" borderId="0" xfId="0" applyFont="1" applyFill="1" applyAlignment="1">
      <alignment wrapText="1"/>
    </xf>
    <xf numFmtId="0" fontId="13" fillId="0" borderId="18" xfId="0" quotePrefix="1" applyFont="1" applyFill="1" applyBorder="1" applyAlignment="1">
      <alignment horizontal="center"/>
    </xf>
    <xf numFmtId="10" fontId="10" fillId="0" borderId="0" xfId="48" applyNumberFormat="1" applyFont="1" applyFill="1"/>
    <xf numFmtId="43" fontId="10" fillId="0" borderId="0" xfId="28" applyNumberFormat="1" applyFont="1" applyFill="1"/>
    <xf numFmtId="10" fontId="10" fillId="0" borderId="0" xfId="48" applyNumberFormat="1" applyFont="1" applyFill="1" applyBorder="1"/>
    <xf numFmtId="0" fontId="13" fillId="0" borderId="14" xfId="0" applyFont="1" applyFill="1" applyBorder="1" applyAlignment="1">
      <alignment horizontal="left" vertical="center" wrapText="1"/>
    </xf>
    <xf numFmtId="5" fontId="15" fillId="0" borderId="59" xfId="0" applyNumberFormat="1" applyFont="1" applyFill="1" applyBorder="1" applyAlignment="1" applyProtection="1">
      <alignment vertical="center"/>
    </xf>
    <xf numFmtId="5" fontId="15" fillId="0" borderId="58" xfId="0" applyNumberFormat="1" applyFont="1" applyFill="1" applyBorder="1" applyAlignment="1" applyProtection="1">
      <alignment vertical="center"/>
    </xf>
    <xf numFmtId="165" fontId="13" fillId="0" borderId="19" xfId="28" applyNumberFormat="1" applyFont="1" applyFill="1" applyBorder="1" applyProtection="1"/>
    <xf numFmtId="0" fontId="21" fillId="0" borderId="0" xfId="0" applyFont="1" applyAlignment="1">
      <alignment horizontal="right"/>
    </xf>
    <xf numFmtId="10" fontId="12" fillId="0" borderId="12" xfId="48" applyNumberFormat="1" applyFont="1" applyBorder="1"/>
    <xf numFmtId="165" fontId="0" fillId="0" borderId="0" xfId="0" applyNumberFormat="1"/>
    <xf numFmtId="0" fontId="13" fillId="0" borderId="21" xfId="0" quotePrefix="1" applyFont="1" applyFill="1" applyBorder="1" applyAlignment="1">
      <alignment horizontal="center"/>
    </xf>
    <xf numFmtId="0" fontId="35" fillId="0" borderId="0" xfId="0" applyFont="1" applyAlignment="1">
      <alignment horizontal="right"/>
    </xf>
    <xf numFmtId="1" fontId="10" fillId="0" borderId="0" xfId="0" applyNumberFormat="1" applyFont="1"/>
    <xf numFmtId="1" fontId="10" fillId="26" borderId="26" xfId="28" applyNumberFormat="1" applyFont="1" applyFill="1" applyBorder="1" applyAlignment="1">
      <alignment horizontal="center"/>
    </xf>
    <xf numFmtId="1" fontId="21" fillId="26" borderId="26" xfId="28" quotePrefix="1" applyNumberFormat="1" applyFont="1" applyFill="1" applyBorder="1" applyAlignment="1">
      <alignment horizontal="center"/>
    </xf>
    <xf numFmtId="1" fontId="21" fillId="26" borderId="26" xfId="28" applyNumberFormat="1" applyFont="1" applyFill="1" applyBorder="1" applyAlignment="1">
      <alignment horizontal="center"/>
    </xf>
    <xf numFmtId="1" fontId="10" fillId="0" borderId="0" xfId="28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Fill="1" applyAlignment="1">
      <alignment horizontal="center"/>
    </xf>
    <xf numFmtId="5" fontId="15" fillId="0" borderId="50" xfId="0" applyNumberFormat="1" applyFont="1" applyFill="1" applyBorder="1" applyAlignment="1" applyProtection="1">
      <alignment vertical="top"/>
    </xf>
    <xf numFmtId="0" fontId="36" fillId="0" borderId="10" xfId="0" applyFont="1" applyBorder="1" applyAlignment="1">
      <alignment horizontal="center" vertical="center" wrapText="1"/>
    </xf>
    <xf numFmtId="6" fontId="11" fillId="0" borderId="10" xfId="0" applyNumberFormat="1" applyFont="1" applyFill="1" applyBorder="1" applyAlignment="1">
      <alignment horizontal="center" vertical="center" wrapText="1"/>
    </xf>
    <xf numFmtId="1" fontId="10" fillId="26" borderId="60" xfId="0" applyNumberFormat="1" applyFont="1" applyFill="1" applyBorder="1" applyProtection="1"/>
    <xf numFmtId="1" fontId="21" fillId="26" borderId="26" xfId="0" quotePrefix="1" applyNumberFormat="1" applyFont="1" applyFill="1" applyBorder="1" applyAlignment="1">
      <alignment horizontal="center"/>
    </xf>
    <xf numFmtId="3" fontId="0" fillId="0" borderId="13" xfId="0" applyNumberFormat="1" applyFill="1" applyBorder="1"/>
    <xf numFmtId="0" fontId="12" fillId="0" borderId="13" xfId="0" applyFont="1" applyBorder="1" applyAlignment="1">
      <alignment wrapText="1"/>
    </xf>
    <xf numFmtId="0" fontId="12" fillId="0" borderId="11" xfId="0" applyFont="1" applyBorder="1" applyAlignment="1">
      <alignment horizontal="left" wrapText="1"/>
    </xf>
    <xf numFmtId="1" fontId="21" fillId="26" borderId="36" xfId="28" quotePrefix="1" applyNumberFormat="1" applyFont="1" applyFill="1" applyBorder="1" applyAlignment="1">
      <alignment horizontal="center"/>
    </xf>
    <xf numFmtId="0" fontId="21" fillId="26" borderId="26" xfId="28" quotePrefix="1" applyNumberFormat="1" applyFont="1" applyFill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26" fillId="0" borderId="0" xfId="0" quotePrefix="1" applyFont="1" applyBorder="1" applyAlignment="1">
      <alignment horizontal="left" wrapText="1"/>
    </xf>
    <xf numFmtId="0" fontId="26" fillId="0" borderId="0" xfId="0" applyFont="1" applyAlignment="1">
      <alignment horizontal="left" wrapText="1"/>
    </xf>
    <xf numFmtId="166" fontId="10" fillId="0" borderId="0" xfId="0" applyNumberFormat="1" applyFont="1" applyFill="1" applyBorder="1"/>
    <xf numFmtId="0" fontId="53" fillId="0" borderId="0" xfId="0" applyFont="1"/>
    <xf numFmtId="0" fontId="49" fillId="0" borderId="0" xfId="0" applyFont="1"/>
    <xf numFmtId="0" fontId="11" fillId="0" borderId="36" xfId="0" quotePrefix="1" applyFont="1" applyFill="1" applyBorder="1" applyAlignment="1">
      <alignment horizontal="center" vertical="center"/>
    </xf>
    <xf numFmtId="166" fontId="10" fillId="0" borderId="34" xfId="0" applyNumberFormat="1" applyFont="1" applyBorder="1"/>
    <xf numFmtId="166" fontId="10" fillId="0" borderId="35" xfId="0" applyNumberFormat="1" applyFont="1" applyBorder="1"/>
    <xf numFmtId="0" fontId="26" fillId="0" borderId="0" xfId="0" quotePrefix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9" fillId="0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/>
    <xf numFmtId="0" fontId="10" fillId="0" borderId="0" xfId="0" applyFont="1" applyFill="1" applyBorder="1" applyAlignment="1"/>
    <xf numFmtId="0" fontId="36" fillId="0" borderId="0" xfId="0" applyFont="1" applyFill="1" applyBorder="1" applyAlignment="1">
      <alignment horizontal="center" vertical="center" wrapText="1"/>
    </xf>
    <xf numFmtId="0" fontId="36" fillId="0" borderId="0" xfId="0" quotePrefix="1" applyFont="1" applyFill="1" applyBorder="1" applyAlignment="1">
      <alignment horizontal="center" vertical="center" wrapText="1"/>
    </xf>
    <xf numFmtId="0" fontId="37" fillId="0" borderId="0" xfId="0" applyFont="1" applyFill="1" applyBorder="1"/>
    <xf numFmtId="167" fontId="10" fillId="0" borderId="0" xfId="0" applyNumberFormat="1" applyFont="1" applyFill="1" applyBorder="1"/>
    <xf numFmtId="10" fontId="10" fillId="0" borderId="0" xfId="0" applyNumberFormat="1" applyFont="1" applyFill="1" applyBorder="1"/>
    <xf numFmtId="0" fontId="13" fillId="0" borderId="0" xfId="0" applyFont="1" applyFill="1" applyBorder="1" applyAlignment="1">
      <alignment horizontal="center" vertical="center" wrapText="1"/>
    </xf>
    <xf numFmtId="9" fontId="54" fillId="0" borderId="0" xfId="0" applyNumberFormat="1" applyFont="1" applyFill="1" applyBorder="1" applyAlignment="1">
      <alignment horizontal="center"/>
    </xf>
    <xf numFmtId="0" fontId="54" fillId="0" borderId="0" xfId="0" applyFont="1" applyFill="1" applyBorder="1" applyAlignment="1"/>
    <xf numFmtId="38" fontId="11" fillId="0" borderId="0" xfId="0" applyNumberFormat="1" applyFont="1"/>
    <xf numFmtId="166" fontId="11" fillId="0" borderId="0" xfId="0" applyNumberFormat="1" applyFont="1"/>
    <xf numFmtId="0" fontId="11" fillId="0" borderId="0" xfId="0" applyFont="1" applyBorder="1"/>
    <xf numFmtId="7" fontId="11" fillId="0" borderId="61" xfId="32" applyNumberFormat="1" applyFont="1" applyBorder="1"/>
    <xf numFmtId="0" fontId="11" fillId="0" borderId="62" xfId="0" applyFont="1" applyBorder="1"/>
    <xf numFmtId="0" fontId="11" fillId="0" borderId="63" xfId="0" applyFont="1" applyBorder="1"/>
    <xf numFmtId="10" fontId="11" fillId="0" borderId="64" xfId="0" applyNumberFormat="1" applyFont="1" applyBorder="1"/>
    <xf numFmtId="6" fontId="10" fillId="0" borderId="43" xfId="0" applyNumberFormat="1" applyFont="1" applyBorder="1"/>
    <xf numFmtId="0" fontId="11" fillId="0" borderId="64" xfId="0" applyFont="1" applyBorder="1"/>
    <xf numFmtId="0" fontId="10" fillId="0" borderId="65" xfId="0" applyFont="1" applyBorder="1"/>
    <xf numFmtId="167" fontId="10" fillId="0" borderId="28" xfId="0" applyNumberFormat="1" applyFont="1" applyFill="1" applyBorder="1"/>
    <xf numFmtId="167" fontId="10" fillId="0" borderId="66" xfId="0" applyNumberFormat="1" applyFont="1" applyFill="1" applyBorder="1"/>
    <xf numFmtId="5" fontId="27" fillId="0" borderId="0" xfId="0" applyNumberFormat="1" applyFont="1" applyFill="1" applyBorder="1" applyProtection="1"/>
    <xf numFmtId="0" fontId="55" fillId="25" borderId="10" xfId="0" applyFont="1" applyFill="1" applyBorder="1" applyAlignment="1">
      <alignment horizontal="center" vertical="center" wrapText="1"/>
    </xf>
    <xf numFmtId="0" fontId="42" fillId="25" borderId="44" xfId="0" applyFont="1" applyFill="1" applyBorder="1" applyAlignment="1">
      <alignment horizontal="center" vertical="center" wrapText="1"/>
    </xf>
    <xf numFmtId="0" fontId="42" fillId="27" borderId="10" xfId="0" applyFont="1" applyFill="1" applyBorder="1" applyAlignment="1">
      <alignment horizontal="center" vertical="center" wrapText="1"/>
    </xf>
    <xf numFmtId="1" fontId="21" fillId="26" borderId="36" xfId="28" applyNumberFormat="1" applyFont="1" applyFill="1" applyBorder="1" applyAlignment="1">
      <alignment horizontal="center"/>
    </xf>
    <xf numFmtId="6" fontId="27" fillId="0" borderId="67" xfId="0" applyNumberFormat="1" applyFont="1" applyBorder="1"/>
    <xf numFmtId="0" fontId="48" fillId="0" borderId="0" xfId="0" applyFont="1"/>
    <xf numFmtId="0" fontId="10" fillId="0" borderId="33" xfId="0" applyFont="1" applyFill="1" applyBorder="1"/>
    <xf numFmtId="0" fontId="27" fillId="28" borderId="26" xfId="0" applyFont="1" applyFill="1" applyBorder="1" applyAlignment="1">
      <alignment horizontal="center" vertical="center" wrapText="1"/>
    </xf>
    <xf numFmtId="0" fontId="0" fillId="0" borderId="14" xfId="0" applyBorder="1"/>
    <xf numFmtId="4" fontId="10" fillId="0" borderId="0" xfId="0" applyNumberFormat="1" applyFont="1" applyBorder="1"/>
    <xf numFmtId="10" fontId="10" fillId="0" borderId="13" xfId="48" applyNumberFormat="1" applyFont="1" applyBorder="1"/>
    <xf numFmtId="0" fontId="10" fillId="0" borderId="11" xfId="0" applyFont="1" applyFill="1" applyBorder="1"/>
    <xf numFmtId="0" fontId="10" fillId="0" borderId="34" xfId="0" applyFont="1" applyFill="1" applyBorder="1"/>
    <xf numFmtId="9" fontId="18" fillId="0" borderId="11" xfId="0" applyNumberFormat="1" applyFont="1" applyFill="1" applyBorder="1"/>
    <xf numFmtId="9" fontId="10" fillId="0" borderId="34" xfId="0" applyNumberFormat="1" applyFont="1" applyFill="1" applyBorder="1"/>
    <xf numFmtId="9" fontId="10" fillId="0" borderId="11" xfId="0" applyNumberFormat="1" applyFont="1" applyFill="1" applyBorder="1"/>
    <xf numFmtId="6" fontId="10" fillId="0" borderId="11" xfId="0" applyNumberFormat="1" applyFont="1" applyBorder="1"/>
    <xf numFmtId="6" fontId="10" fillId="0" borderId="13" xfId="0" applyNumberFormat="1" applyFont="1" applyBorder="1"/>
    <xf numFmtId="6" fontId="10" fillId="0" borderId="11" xfId="0" applyNumberFormat="1" applyFont="1" applyFill="1" applyBorder="1"/>
    <xf numFmtId="6" fontId="10" fillId="0" borderId="13" xfId="0" applyNumberFormat="1" applyFont="1" applyFill="1" applyBorder="1"/>
    <xf numFmtId="10" fontId="0" fillId="0" borderId="0" xfId="48" applyNumberFormat="1" applyFont="1"/>
    <xf numFmtId="9" fontId="11" fillId="0" borderId="11" xfId="0" applyNumberFormat="1" applyFont="1" applyFill="1" applyBorder="1" applyAlignment="1">
      <alignment horizontal="center"/>
    </xf>
    <xf numFmtId="0" fontId="59" fillId="0" borderId="0" xfId="0" applyFont="1" applyFill="1" applyBorder="1"/>
    <xf numFmtId="0" fontId="13" fillId="0" borderId="21" xfId="0" quotePrefix="1" applyFont="1" applyFill="1" applyBorder="1" applyAlignment="1">
      <alignment horizontal="center" vertical="center" wrapText="1"/>
    </xf>
    <xf numFmtId="0" fontId="10" fillId="0" borderId="14" xfId="0" applyFont="1" applyFill="1" applyBorder="1"/>
    <xf numFmtId="0" fontId="14" fillId="0" borderId="44" xfId="0" applyFont="1" applyBorder="1" applyAlignment="1">
      <alignment horizontal="center"/>
    </xf>
    <xf numFmtId="0" fontId="49" fillId="0" borderId="34" xfId="0" applyFont="1" applyFill="1" applyBorder="1"/>
    <xf numFmtId="0" fontId="10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9" fontId="0" fillId="0" borderId="0" xfId="0" applyNumberFormat="1"/>
    <xf numFmtId="0" fontId="10" fillId="0" borderId="26" xfId="0" applyFont="1" applyBorder="1" applyAlignment="1">
      <alignment horizontal="center"/>
    </xf>
    <xf numFmtId="0" fontId="10" fillId="0" borderId="26" xfId="0" applyFont="1" applyBorder="1"/>
    <xf numFmtId="15" fontId="10" fillId="29" borderId="26" xfId="0" applyNumberFormat="1" applyFont="1" applyFill="1" applyBorder="1" applyAlignment="1">
      <alignment horizontal="center"/>
    </xf>
    <xf numFmtId="0" fontId="12" fillId="30" borderId="26" xfId="0" applyFont="1" applyFill="1" applyBorder="1" applyAlignment="1">
      <alignment horizontal="center"/>
    </xf>
    <xf numFmtId="165" fontId="12" fillId="30" borderId="26" xfId="28" applyNumberFormat="1" applyFont="1" applyFill="1" applyBorder="1" applyAlignment="1">
      <alignment horizontal="center"/>
    </xf>
    <xf numFmtId="165" fontId="10" fillId="30" borderId="26" xfId="28" applyNumberFormat="1" applyFont="1" applyFill="1" applyBorder="1" applyAlignment="1">
      <alignment horizontal="center"/>
    </xf>
    <xf numFmtId="0" fontId="10" fillId="0" borderId="26" xfId="0" applyFont="1" applyFill="1" applyBorder="1"/>
    <xf numFmtId="1" fontId="12" fillId="26" borderId="68" xfId="0" applyNumberFormat="1" applyFont="1" applyFill="1" applyBorder="1" applyProtection="1"/>
    <xf numFmtId="0" fontId="10" fillId="0" borderId="69" xfId="0" applyFont="1" applyFill="1" applyBorder="1" applyProtection="1"/>
    <xf numFmtId="0" fontId="10" fillId="0" borderId="70" xfId="0" applyFont="1" applyFill="1" applyBorder="1" applyProtection="1"/>
    <xf numFmtId="0" fontId="10" fillId="0" borderId="71" xfId="0" applyFont="1" applyFill="1" applyBorder="1" applyProtection="1"/>
    <xf numFmtId="3" fontId="10" fillId="0" borderId="34" xfId="0" applyNumberFormat="1" applyFont="1" applyFill="1" applyBorder="1" applyAlignment="1">
      <alignment horizontal="left"/>
    </xf>
    <xf numFmtId="5" fontId="12" fillId="0" borderId="0" xfId="0" applyNumberFormat="1" applyFont="1" applyBorder="1" applyProtection="1"/>
    <xf numFmtId="6" fontId="21" fillId="25" borderId="26" xfId="0" applyNumberFormat="1" applyFont="1" applyFill="1" applyBorder="1" applyAlignment="1">
      <alignment horizontal="center" wrapText="1"/>
    </xf>
    <xf numFmtId="8" fontId="21" fillId="25" borderId="26" xfId="0" applyNumberFormat="1" applyFont="1" applyFill="1" applyBorder="1" applyAlignment="1">
      <alignment horizontal="center" wrapText="1"/>
    </xf>
    <xf numFmtId="1" fontId="21" fillId="26" borderId="72" xfId="0" applyNumberFormat="1" applyFont="1" applyFill="1" applyBorder="1" applyAlignment="1" applyProtection="1">
      <alignment horizontal="center"/>
    </xf>
    <xf numFmtId="1" fontId="21" fillId="26" borderId="73" xfId="0" quotePrefix="1" applyNumberFormat="1" applyFont="1" applyFill="1" applyBorder="1" applyAlignment="1" applyProtection="1">
      <alignment horizontal="center"/>
    </xf>
    <xf numFmtId="5" fontId="10" fillId="0" borderId="11" xfId="0" applyNumberFormat="1" applyFont="1" applyFill="1" applyBorder="1" applyProtection="1"/>
    <xf numFmtId="5" fontId="12" fillId="0" borderId="74" xfId="0" applyNumberFormat="1" applyFont="1" applyFill="1" applyBorder="1" applyProtection="1"/>
    <xf numFmtId="5" fontId="10" fillId="0" borderId="74" xfId="0" applyNumberFormat="1" applyFont="1" applyFill="1" applyBorder="1" applyProtection="1"/>
    <xf numFmtId="5" fontId="12" fillId="0" borderId="11" xfId="0" applyNumberFormat="1" applyFont="1" applyFill="1" applyBorder="1" applyProtection="1"/>
    <xf numFmtId="38" fontId="10" fillId="0" borderId="11" xfId="0" applyNumberFormat="1" applyFont="1" applyFill="1" applyBorder="1" applyProtection="1"/>
    <xf numFmtId="165" fontId="12" fillId="0" borderId="11" xfId="28" applyNumberFormat="1" applyFont="1" applyFill="1" applyBorder="1" applyProtection="1"/>
    <xf numFmtId="166" fontId="10" fillId="0" borderId="11" xfId="28" applyNumberFormat="1" applyFont="1" applyFill="1" applyBorder="1" applyProtection="1"/>
    <xf numFmtId="6" fontId="12" fillId="0" borderId="11" xfId="0" applyNumberFormat="1" applyFont="1" applyFill="1" applyBorder="1" applyProtection="1"/>
    <xf numFmtId="5" fontId="10" fillId="0" borderId="72" xfId="0" applyNumberFormat="1" applyFont="1" applyFill="1" applyBorder="1" applyProtection="1"/>
    <xf numFmtId="5" fontId="12" fillId="0" borderId="72" xfId="0" applyNumberFormat="1" applyFont="1" applyFill="1" applyBorder="1" applyProtection="1"/>
    <xf numFmtId="38" fontId="10" fillId="0" borderId="72" xfId="0" applyNumberFormat="1" applyFont="1" applyFill="1" applyBorder="1" applyProtection="1"/>
    <xf numFmtId="165" fontId="12" fillId="0" borderId="72" xfId="28" applyNumberFormat="1" applyFont="1" applyFill="1" applyBorder="1" applyProtection="1"/>
    <xf numFmtId="166" fontId="10" fillId="0" borderId="72" xfId="28" applyNumberFormat="1" applyFont="1" applyFill="1" applyBorder="1" applyProtection="1"/>
    <xf numFmtId="6" fontId="12" fillId="0" borderId="72" xfId="0" applyNumberFormat="1" applyFont="1" applyFill="1" applyBorder="1" applyProtection="1"/>
    <xf numFmtId="166" fontId="10" fillId="0" borderId="13" xfId="28" applyNumberFormat="1" applyFont="1" applyFill="1" applyBorder="1" applyProtection="1"/>
    <xf numFmtId="165" fontId="12" fillId="0" borderId="74" xfId="28" applyNumberFormat="1" applyFont="1" applyFill="1" applyBorder="1" applyProtection="1"/>
    <xf numFmtId="166" fontId="10" fillId="0" borderId="74" xfId="28" applyNumberFormat="1" applyFont="1" applyFill="1" applyBorder="1" applyProtection="1"/>
    <xf numFmtId="6" fontId="12" fillId="0" borderId="74" xfId="0" applyNumberFormat="1" applyFont="1" applyFill="1" applyBorder="1" applyProtection="1"/>
    <xf numFmtId="0" fontId="42" fillId="25" borderId="10" xfId="0" applyFont="1" applyFill="1" applyBorder="1" applyAlignment="1">
      <alignment horizontal="center" vertical="center" wrapText="1"/>
    </xf>
    <xf numFmtId="0" fontId="55" fillId="29" borderId="10" xfId="0" applyFont="1" applyFill="1" applyBorder="1" applyAlignment="1">
      <alignment horizontal="center" vertical="center" wrapText="1"/>
    </xf>
    <xf numFmtId="0" fontId="42" fillId="29" borderId="44" xfId="0" applyFont="1" applyFill="1" applyBorder="1" applyAlignment="1">
      <alignment horizontal="center" vertical="center" wrapText="1"/>
    </xf>
    <xf numFmtId="0" fontId="42" fillId="29" borderId="10" xfId="0" applyFont="1" applyFill="1" applyBorder="1" applyAlignment="1">
      <alignment horizontal="center" vertical="center" wrapText="1"/>
    </xf>
    <xf numFmtId="0" fontId="27" fillId="27" borderId="10" xfId="0" applyFont="1" applyFill="1" applyBorder="1" applyAlignment="1">
      <alignment horizontal="center" vertical="center" wrapText="1"/>
    </xf>
    <xf numFmtId="2" fontId="0" fillId="0" borderId="0" xfId="0" applyNumberFormat="1"/>
    <xf numFmtId="5" fontId="23" fillId="27" borderId="30" xfId="0" applyNumberFormat="1" applyFont="1" applyFill="1" applyBorder="1" applyProtection="1"/>
    <xf numFmtId="0" fontId="10" fillId="0" borderId="14" xfId="0" applyFont="1" applyFill="1" applyBorder="1" applyAlignment="1">
      <alignment horizontal="center"/>
    </xf>
    <xf numFmtId="0" fontId="10" fillId="0" borderId="14" xfId="0" applyFont="1" applyBorder="1"/>
    <xf numFmtId="0" fontId="1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66" fontId="62" fillId="0" borderId="11" xfId="0" applyNumberFormat="1" applyFont="1" applyFill="1" applyBorder="1"/>
    <xf numFmtId="6" fontId="10" fillId="0" borderId="0" xfId="0" applyNumberFormat="1" applyFont="1" applyFill="1" applyBorder="1" applyAlignment="1">
      <alignment horizontal="right"/>
    </xf>
    <xf numFmtId="166" fontId="10" fillId="0" borderId="0" xfId="0" applyNumberFormat="1" applyFont="1" applyFill="1" applyBorder="1" applyAlignment="1">
      <alignment horizontal="right"/>
    </xf>
    <xf numFmtId="0" fontId="19" fillId="0" borderId="0" xfId="0" applyFont="1" applyFill="1" applyAlignment="1">
      <alignment vertical="center"/>
    </xf>
    <xf numFmtId="10" fontId="10" fillId="0" borderId="10" xfId="0" applyNumberFormat="1" applyFont="1" applyFill="1" applyBorder="1"/>
    <xf numFmtId="1" fontId="10" fillId="26" borderId="60" xfId="0" applyNumberFormat="1" applyFont="1" applyFill="1" applyBorder="1" applyAlignment="1" applyProtection="1">
      <alignment horizontal="center"/>
    </xf>
    <xf numFmtId="1" fontId="12" fillId="26" borderId="68" xfId="0" applyNumberFormat="1" applyFont="1" applyFill="1" applyBorder="1" applyAlignment="1" applyProtection="1">
      <alignment horizontal="center"/>
    </xf>
    <xf numFmtId="6" fontId="10" fillId="0" borderId="0" xfId="0" applyNumberFormat="1" applyFont="1" applyBorder="1"/>
    <xf numFmtId="0" fontId="23" fillId="27" borderId="75" xfId="0" applyFont="1" applyFill="1" applyBorder="1" applyAlignment="1">
      <alignment horizontal="left"/>
    </xf>
    <xf numFmtId="0" fontId="40" fillId="27" borderId="75" xfId="0" applyFont="1" applyFill="1" applyBorder="1"/>
    <xf numFmtId="3" fontId="10" fillId="0" borderId="11" xfId="0" applyNumberFormat="1" applyFont="1" applyFill="1" applyBorder="1" applyAlignment="1">
      <alignment horizontal="right"/>
    </xf>
    <xf numFmtId="0" fontId="0" fillId="0" borderId="10" xfId="0" applyBorder="1"/>
    <xf numFmtId="38" fontId="10" fillId="0" borderId="10" xfId="0" applyNumberFormat="1" applyFont="1" applyBorder="1"/>
    <xf numFmtId="0" fontId="10" fillId="0" borderId="44" xfId="0" applyFont="1" applyFill="1" applyBorder="1"/>
    <xf numFmtId="5" fontId="10" fillId="0" borderId="76" xfId="0" applyNumberFormat="1" applyFont="1" applyFill="1" applyBorder="1"/>
    <xf numFmtId="0" fontId="10" fillId="0" borderId="76" xfId="0" applyFont="1" applyFill="1" applyBorder="1"/>
    <xf numFmtId="0" fontId="10" fillId="0" borderId="76" xfId="0" applyFont="1" applyBorder="1"/>
    <xf numFmtId="0" fontId="27" fillId="25" borderId="13" xfId="0" applyFont="1" applyFill="1" applyBorder="1" applyAlignment="1">
      <alignment horizontal="center" vertical="center" wrapText="1"/>
    </xf>
    <xf numFmtId="6" fontId="10" fillId="0" borderId="11" xfId="0" applyNumberFormat="1" applyFont="1" applyFill="1" applyBorder="1" applyProtection="1"/>
    <xf numFmtId="6" fontId="10" fillId="0" borderId="72" xfId="0" applyNumberFormat="1" applyFont="1" applyFill="1" applyBorder="1" applyProtection="1"/>
    <xf numFmtId="6" fontId="10" fillId="0" borderId="74" xfId="0" applyNumberFormat="1" applyFont="1" applyFill="1" applyBorder="1" applyProtection="1"/>
    <xf numFmtId="0" fontId="13" fillId="0" borderId="0" xfId="0" applyFont="1" applyFill="1" applyBorder="1" applyAlignment="1">
      <alignment horizontal="left" wrapText="1"/>
    </xf>
    <xf numFmtId="165" fontId="22" fillId="27" borderId="78" xfId="28" applyNumberFormat="1" applyFont="1" applyFill="1" applyBorder="1" applyAlignment="1">
      <alignment horizontal="right"/>
    </xf>
    <xf numFmtId="165" fontId="22" fillId="27" borderId="77" xfId="28" applyNumberFormat="1" applyFont="1" applyFill="1" applyBorder="1" applyAlignment="1">
      <alignment horizontal="right"/>
    </xf>
    <xf numFmtId="166" fontId="22" fillId="27" borderId="78" xfId="28" applyNumberFormat="1" applyFont="1" applyFill="1" applyBorder="1" applyAlignment="1">
      <alignment horizontal="right"/>
    </xf>
    <xf numFmtId="9" fontId="22" fillId="27" borderId="78" xfId="28" applyNumberFormat="1" applyFont="1" applyFill="1" applyBorder="1" applyAlignment="1">
      <alignment horizontal="right"/>
    </xf>
    <xf numFmtId="9" fontId="22" fillId="27" borderId="78" xfId="0" applyNumberFormat="1" applyFont="1" applyFill="1" applyBorder="1" applyAlignment="1">
      <alignment horizontal="center"/>
    </xf>
    <xf numFmtId="39" fontId="22" fillId="27" borderId="78" xfId="28" applyNumberFormat="1" applyFont="1" applyFill="1" applyBorder="1" applyAlignment="1">
      <alignment horizontal="center"/>
    </xf>
    <xf numFmtId="0" fontId="65" fillId="25" borderId="13" xfId="0" applyFont="1" applyFill="1" applyBorder="1" applyAlignment="1">
      <alignment horizontal="center" vertical="center" wrapText="1"/>
    </xf>
    <xf numFmtId="167" fontId="27" fillId="25" borderId="13" xfId="0" applyNumberFormat="1" applyFont="1" applyFill="1" applyBorder="1" applyAlignment="1">
      <alignment horizontal="center" vertical="center" wrapText="1"/>
    </xf>
    <xf numFmtId="0" fontId="55" fillId="25" borderId="11" xfId="0" applyFont="1" applyFill="1" applyBorder="1" applyAlignment="1">
      <alignment horizontal="center" vertical="center" wrapText="1"/>
    </xf>
    <xf numFmtId="0" fontId="55" fillId="27" borderId="11" xfId="0" applyFont="1" applyFill="1" applyBorder="1" applyAlignment="1">
      <alignment horizontal="center" vertical="center" wrapText="1"/>
    </xf>
    <xf numFmtId="0" fontId="55" fillId="25" borderId="26" xfId="0" applyFont="1" applyFill="1" applyBorder="1" applyAlignment="1">
      <alignment horizontal="center" vertical="center" wrapText="1"/>
    </xf>
    <xf numFmtId="2" fontId="21" fillId="27" borderId="26" xfId="0" applyNumberFormat="1" applyFont="1" applyFill="1" applyBorder="1" applyAlignment="1">
      <alignment horizontal="center" wrapText="1"/>
    </xf>
    <xf numFmtId="0" fontId="43" fillId="25" borderId="1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right"/>
    </xf>
    <xf numFmtId="0" fontId="27" fillId="0" borderId="67" xfId="0" applyFont="1" applyBorder="1" applyAlignment="1">
      <alignment horizontal="right"/>
    </xf>
    <xf numFmtId="5" fontId="27" fillId="0" borderId="79" xfId="32" applyNumberFormat="1" applyFont="1" applyBorder="1" applyAlignment="1">
      <alignment horizontal="right"/>
    </xf>
    <xf numFmtId="2" fontId="27" fillId="0" borderId="79" xfId="0" applyNumberFormat="1" applyFont="1" applyBorder="1" applyAlignment="1">
      <alignment horizontal="right"/>
    </xf>
    <xf numFmtId="0" fontId="27" fillId="0" borderId="12" xfId="0" applyFont="1" applyBorder="1" applyAlignment="1">
      <alignment horizontal="right"/>
    </xf>
    <xf numFmtId="43" fontId="27" fillId="0" borderId="12" xfId="28" applyNumberFormat="1" applyFont="1" applyBorder="1" applyAlignment="1">
      <alignment horizontal="right"/>
    </xf>
    <xf numFmtId="43" fontId="27" fillId="0" borderId="12" xfId="28" applyFont="1" applyBorder="1" applyAlignment="1">
      <alignment horizontal="right"/>
    </xf>
    <xf numFmtId="10" fontId="27" fillId="0" borderId="12" xfId="0" applyNumberFormat="1" applyFont="1" applyBorder="1" applyAlignment="1">
      <alignment horizontal="right"/>
    </xf>
    <xf numFmtId="166" fontId="10" fillId="0" borderId="45" xfId="0" applyNumberFormat="1" applyFont="1" applyBorder="1"/>
    <xf numFmtId="166" fontId="10" fillId="27" borderId="45" xfId="0" applyNumberFormat="1" applyFont="1" applyFill="1" applyBorder="1"/>
    <xf numFmtId="10" fontId="10" fillId="0" borderId="45" xfId="0" applyNumberFormat="1" applyFont="1" applyBorder="1"/>
    <xf numFmtId="6" fontId="10" fillId="0" borderId="45" xfId="32" applyNumberFormat="1" applyFont="1" applyBorder="1"/>
    <xf numFmtId="166" fontId="10" fillId="27" borderId="11" xfId="0" applyNumberFormat="1" applyFont="1" applyFill="1" applyBorder="1"/>
    <xf numFmtId="165" fontId="10" fillId="0" borderId="11" xfId="28" applyNumberFormat="1" applyFont="1" applyBorder="1"/>
    <xf numFmtId="6" fontId="10" fillId="0" borderId="11" xfId="28" applyNumberFormat="1" applyFont="1" applyBorder="1"/>
    <xf numFmtId="166" fontId="10" fillId="0" borderId="80" xfId="0" applyNumberFormat="1" applyFont="1" applyBorder="1"/>
    <xf numFmtId="166" fontId="10" fillId="27" borderId="80" xfId="0" applyNumberFormat="1" applyFont="1" applyFill="1" applyBorder="1"/>
    <xf numFmtId="10" fontId="10" fillId="0" borderId="13" xfId="0" applyNumberFormat="1" applyFont="1" applyBorder="1"/>
    <xf numFmtId="10" fontId="10" fillId="0" borderId="80" xfId="0" applyNumberFormat="1" applyFont="1" applyBorder="1"/>
    <xf numFmtId="6" fontId="10" fillId="0" borderId="80" xfId="32" applyNumberFormat="1" applyFont="1" applyBorder="1"/>
    <xf numFmtId="166" fontId="10" fillId="27" borderId="13" xfId="0" applyNumberFormat="1" applyFont="1" applyFill="1" applyBorder="1"/>
    <xf numFmtId="165" fontId="10" fillId="0" borderId="13" xfId="28" applyNumberFormat="1" applyFont="1" applyBorder="1"/>
    <xf numFmtId="6" fontId="10" fillId="0" borderId="13" xfId="28" applyNumberFormat="1" applyFont="1" applyBorder="1"/>
    <xf numFmtId="166" fontId="10" fillId="27" borderId="11" xfId="0" applyNumberFormat="1" applyFont="1" applyFill="1" applyBorder="1" applyAlignment="1"/>
    <xf numFmtId="6" fontId="12" fillId="0" borderId="81" xfId="0" applyNumberFormat="1" applyFont="1" applyBorder="1"/>
    <xf numFmtId="6" fontId="12" fillId="0" borderId="12" xfId="0" applyNumberFormat="1" applyFont="1" applyBorder="1"/>
    <xf numFmtId="6" fontId="12" fillId="27" borderId="12" xfId="0" applyNumberFormat="1" applyFont="1" applyFill="1" applyBorder="1"/>
    <xf numFmtId="10" fontId="12" fillId="27" borderId="12" xfId="0" applyNumberFormat="1" applyFont="1" applyFill="1" applyBorder="1"/>
    <xf numFmtId="10" fontId="12" fillId="27" borderId="79" xfId="0" applyNumberFormat="1" applyFont="1" applyFill="1" applyBorder="1"/>
    <xf numFmtId="6" fontId="12" fillId="0" borderId="12" xfId="32" applyNumberFormat="1" applyFont="1" applyBorder="1"/>
    <xf numFmtId="38" fontId="12" fillId="0" borderId="12" xfId="0" applyNumberFormat="1" applyFont="1" applyBorder="1"/>
    <xf numFmtId="38" fontId="12" fillId="27" borderId="12" xfId="0" applyNumberFormat="1" applyFont="1" applyFill="1" applyBorder="1"/>
    <xf numFmtId="166" fontId="12" fillId="0" borderId="12" xfId="0" applyNumberFormat="1" applyFont="1" applyBorder="1"/>
    <xf numFmtId="166" fontId="12" fillId="0" borderId="79" xfId="0" applyNumberFormat="1" applyFont="1" applyBorder="1"/>
    <xf numFmtId="166" fontId="12" fillId="27" borderId="12" xfId="0" applyNumberFormat="1" applyFont="1" applyFill="1" applyBorder="1"/>
    <xf numFmtId="10" fontId="12" fillId="0" borderId="79" xfId="48" applyNumberFormat="1" applyFont="1" applyBorder="1"/>
    <xf numFmtId="166" fontId="10" fillId="0" borderId="0" xfId="0" applyNumberFormat="1" applyFont="1"/>
    <xf numFmtId="5" fontId="27" fillId="0" borderId="12" xfId="32" applyNumberFormat="1" applyFont="1" applyFill="1" applyBorder="1" applyAlignment="1">
      <alignment horizontal="right"/>
    </xf>
    <xf numFmtId="0" fontId="12" fillId="0" borderId="82" xfId="0" applyFont="1" applyFill="1" applyBorder="1" applyProtection="1"/>
    <xf numFmtId="0" fontId="27" fillId="0" borderId="83" xfId="0" applyFont="1" applyFill="1" applyBorder="1" applyAlignment="1" applyProtection="1">
      <alignment horizontal="center"/>
    </xf>
    <xf numFmtId="6" fontId="27" fillId="0" borderId="84" xfId="28" applyNumberFormat="1" applyFont="1" applyFill="1" applyBorder="1" applyProtection="1"/>
    <xf numFmtId="6" fontId="27" fillId="0" borderId="84" xfId="0" applyNumberFormat="1" applyFont="1" applyBorder="1"/>
    <xf numFmtId="165" fontId="27" fillId="0" borderId="84" xfId="28" applyNumberFormat="1" applyFont="1" applyFill="1" applyBorder="1" applyProtection="1"/>
    <xf numFmtId="5" fontId="27" fillId="0" borderId="84" xfId="0" applyNumberFormat="1" applyFont="1" applyFill="1" applyBorder="1" applyProtection="1"/>
    <xf numFmtId="6" fontId="27" fillId="27" borderId="85" xfId="28" applyNumberFormat="1" applyFont="1" applyFill="1" applyBorder="1" applyProtection="1"/>
    <xf numFmtId="0" fontId="12" fillId="0" borderId="0" xfId="0" applyFont="1" applyFill="1" applyBorder="1" applyProtection="1"/>
    <xf numFmtId="6" fontId="27" fillId="0" borderId="85" xfId="28" applyNumberFormat="1" applyFont="1" applyFill="1" applyBorder="1" applyProtection="1"/>
    <xf numFmtId="6" fontId="46" fillId="0" borderId="72" xfId="0" applyNumberFormat="1" applyFont="1" applyFill="1" applyBorder="1" applyProtection="1"/>
    <xf numFmtId="0" fontId="27" fillId="0" borderId="0" xfId="0" applyFont="1" applyFill="1" applyBorder="1" applyAlignment="1" applyProtection="1">
      <alignment horizontal="center"/>
    </xf>
    <xf numFmtId="6" fontId="10" fillId="0" borderId="76" xfId="0" applyNumberFormat="1" applyFont="1" applyFill="1" applyBorder="1"/>
    <xf numFmtId="6" fontId="10" fillId="0" borderId="0" xfId="28" applyNumberFormat="1" applyFont="1" applyBorder="1"/>
    <xf numFmtId="0" fontId="0" fillId="0" borderId="0" xfId="0" applyAlignment="1">
      <alignment vertical="center"/>
    </xf>
    <xf numFmtId="0" fontId="12" fillId="0" borderId="0" xfId="0" applyFont="1" applyAlignment="1">
      <alignment horizontal="right" vertical="center"/>
    </xf>
    <xf numFmtId="0" fontId="27" fillId="27" borderId="13" xfId="0" applyFont="1" applyFill="1" applyBorder="1" applyAlignment="1">
      <alignment horizontal="center" vertical="center" wrapText="1"/>
    </xf>
    <xf numFmtId="168" fontId="51" fillId="0" borderId="0" xfId="48" applyNumberFormat="1" applyFont="1" applyFill="1" applyBorder="1"/>
    <xf numFmtId="168" fontId="0" fillId="0" borderId="0" xfId="0" applyNumberFormat="1" applyBorder="1"/>
    <xf numFmtId="170" fontId="0" fillId="0" borderId="0" xfId="0" applyNumberFormat="1" applyBorder="1"/>
    <xf numFmtId="166" fontId="0" fillId="0" borderId="0" xfId="0" applyNumberFormat="1" applyBorder="1"/>
    <xf numFmtId="0" fontId="0" fillId="0" borderId="0" xfId="0" applyBorder="1" applyAlignment="1">
      <alignment vertical="center"/>
    </xf>
    <xf numFmtId="10" fontId="0" fillId="0" borderId="0" xfId="0" applyNumberFormat="1"/>
    <xf numFmtId="0" fontId="75" fillId="0" borderId="26" xfId="0" applyFont="1" applyFill="1" applyBorder="1" applyAlignment="1">
      <alignment horizontal="left" wrapText="1"/>
    </xf>
    <xf numFmtId="6" fontId="21" fillId="0" borderId="0" xfId="0" applyNumberFormat="1" applyFont="1" applyAlignment="1">
      <alignment horizontal="right"/>
    </xf>
    <xf numFmtId="0" fontId="20" fillId="27" borderId="88" xfId="0" applyFont="1" applyFill="1" applyBorder="1" applyAlignment="1">
      <alignment horizontal="center" vertical="center" wrapText="1"/>
    </xf>
    <xf numFmtId="5" fontId="20" fillId="27" borderId="89" xfId="0" applyNumberFormat="1" applyFont="1" applyFill="1" applyBorder="1" applyAlignment="1" applyProtection="1">
      <alignment vertical="center"/>
    </xf>
    <xf numFmtId="0" fontId="48" fillId="0" borderId="35" xfId="0" applyFont="1" applyBorder="1" applyAlignment="1">
      <alignment horizontal="right" wrapText="1"/>
    </xf>
    <xf numFmtId="166" fontId="22" fillId="0" borderId="14" xfId="28" applyNumberFormat="1" applyFont="1" applyFill="1" applyBorder="1" applyAlignment="1">
      <alignment horizontal="center"/>
    </xf>
    <xf numFmtId="6" fontId="12" fillId="0" borderId="34" xfId="0" applyNumberFormat="1" applyFont="1" applyFill="1" applyBorder="1" applyProtection="1"/>
    <xf numFmtId="3" fontId="60" fillId="0" borderId="13" xfId="0" applyNumberFormat="1" applyFont="1" applyFill="1" applyBorder="1" applyAlignment="1">
      <alignment horizontal="right"/>
    </xf>
    <xf numFmtId="6" fontId="60" fillId="0" borderId="13" xfId="0" applyNumberFormat="1" applyFont="1" applyBorder="1" applyAlignment="1">
      <alignment horizontal="right"/>
    </xf>
    <xf numFmtId="6" fontId="0" fillId="0" borderId="0" xfId="0" applyNumberFormat="1" applyBorder="1" applyAlignment="1">
      <alignment horizontal="right"/>
    </xf>
    <xf numFmtId="3" fontId="10" fillId="0" borderId="0" xfId="0" applyNumberFormat="1" applyFont="1" applyFill="1" applyBorder="1" applyAlignment="1">
      <alignment horizontal="center"/>
    </xf>
    <xf numFmtId="0" fontId="13" fillId="0" borderId="90" xfId="0" quotePrefix="1" applyFont="1" applyFill="1" applyBorder="1" applyAlignment="1">
      <alignment horizontal="center"/>
    </xf>
    <xf numFmtId="0" fontId="13" fillId="0" borderId="90" xfId="0" applyFont="1" applyFill="1" applyBorder="1" applyAlignment="1">
      <alignment horizontal="left"/>
    </xf>
    <xf numFmtId="5" fontId="15" fillId="0" borderId="91" xfId="0" applyNumberFormat="1" applyFont="1" applyFill="1" applyBorder="1" applyProtection="1"/>
    <xf numFmtId="5" fontId="15" fillId="0" borderId="59" xfId="0" applyNumberFormat="1" applyFont="1" applyFill="1" applyBorder="1" applyProtection="1"/>
    <xf numFmtId="0" fontId="13" fillId="0" borderId="86" xfId="0" quotePrefix="1" applyFont="1" applyFill="1" applyBorder="1" applyAlignment="1">
      <alignment horizontal="center"/>
    </xf>
    <xf numFmtId="0" fontId="13" fillId="0" borderId="86" xfId="0" applyFont="1" applyFill="1" applyBorder="1" applyAlignment="1">
      <alignment horizontal="left"/>
    </xf>
    <xf numFmtId="5" fontId="15" fillId="0" borderId="92" xfId="0" applyNumberFormat="1" applyFont="1" applyFill="1" applyBorder="1" applyProtection="1"/>
    <xf numFmtId="0" fontId="58" fillId="0" borderId="0" xfId="0" applyFont="1" applyAlignment="1">
      <alignment horizontal="center"/>
    </xf>
    <xf numFmtId="3" fontId="10" fillId="0" borderId="0" xfId="0" applyNumberFormat="1" applyFont="1" applyFill="1" applyBorder="1" applyAlignment="1">
      <alignment horizontal="left"/>
    </xf>
    <xf numFmtId="3" fontId="39" fillId="0" borderId="0" xfId="0" applyNumberFormat="1" applyFont="1" applyFill="1" applyBorder="1" applyAlignment="1">
      <alignment horizontal="left"/>
    </xf>
    <xf numFmtId="9" fontId="22" fillId="0" borderId="93" xfId="0" applyNumberFormat="1" applyFont="1" applyFill="1" applyBorder="1" applyAlignment="1">
      <alignment horizontal="center"/>
    </xf>
    <xf numFmtId="0" fontId="13" fillId="0" borderId="18" xfId="0" quotePrefix="1" applyFont="1" applyFill="1" applyBorder="1" applyAlignment="1">
      <alignment horizontal="center" vertical="center" wrapText="1"/>
    </xf>
    <xf numFmtId="0" fontId="13" fillId="0" borderId="0" xfId="0" quotePrefix="1" applyFont="1" applyFill="1" applyBorder="1" applyAlignment="1">
      <alignment horizontal="center" vertical="center" wrapText="1"/>
    </xf>
    <xf numFmtId="6" fontId="60" fillId="0" borderId="35" xfId="0" applyNumberFormat="1" applyFont="1" applyBorder="1" applyAlignment="1">
      <alignment horizontal="right"/>
    </xf>
    <xf numFmtId="5" fontId="23" fillId="0" borderId="94" xfId="0" applyNumberFormat="1" applyFont="1" applyFill="1" applyBorder="1" applyAlignment="1" applyProtection="1">
      <alignment vertical="center"/>
    </xf>
    <xf numFmtId="167" fontId="10" fillId="0" borderId="0" xfId="0" applyNumberFormat="1" applyFont="1" applyBorder="1"/>
    <xf numFmtId="16" fontId="10" fillId="0" borderId="0" xfId="0" applyNumberFormat="1" applyFont="1" applyFill="1" applyBorder="1"/>
    <xf numFmtId="0" fontId="10" fillId="0" borderId="0" xfId="0" applyFont="1" applyBorder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167" fontId="10" fillId="0" borderId="0" xfId="0" applyNumberFormat="1" applyFont="1" applyFill="1" applyBorder="1" applyAlignment="1">
      <alignment horizontal="center"/>
    </xf>
    <xf numFmtId="5" fontId="95" fillId="0" borderId="84" xfId="0" applyNumberFormat="1" applyFont="1" applyFill="1" applyBorder="1" applyProtection="1"/>
    <xf numFmtId="6" fontId="95" fillId="0" borderId="84" xfId="0" applyNumberFormat="1" applyFont="1" applyFill="1" applyBorder="1" applyProtection="1"/>
    <xf numFmtId="165" fontId="95" fillId="0" borderId="84" xfId="28" applyNumberFormat="1" applyFont="1" applyFill="1" applyBorder="1" applyProtection="1"/>
    <xf numFmtId="0" fontId="38" fillId="0" borderId="0" xfId="0" quotePrefix="1" applyFont="1" applyBorder="1" applyAlignment="1">
      <alignment horizontal="center" vertical="center" wrapText="1"/>
    </xf>
    <xf numFmtId="10" fontId="27" fillId="0" borderId="79" xfId="32" applyNumberFormat="1" applyFont="1" applyFill="1" applyBorder="1" applyAlignment="1">
      <alignment horizontal="right"/>
    </xf>
    <xf numFmtId="0" fontId="45" fillId="0" borderId="11" xfId="45" applyFont="1" applyFill="1" applyBorder="1" applyAlignment="1">
      <alignment horizontal="right" wrapText="1"/>
    </xf>
    <xf numFmtId="166" fontId="45" fillId="0" borderId="11" xfId="45" applyNumberFormat="1" applyFont="1" applyFill="1" applyBorder="1" applyAlignment="1">
      <alignment horizontal="right" wrapText="1"/>
    </xf>
    <xf numFmtId="0" fontId="45" fillId="0" borderId="13" xfId="45" applyFont="1" applyFill="1" applyBorder="1" applyAlignment="1">
      <alignment horizontal="right" wrapText="1"/>
    </xf>
    <xf numFmtId="166" fontId="45" fillId="0" borderId="13" xfId="45" applyNumberFormat="1" applyFont="1" applyFill="1" applyBorder="1" applyAlignment="1">
      <alignment horizontal="right" wrapText="1"/>
    </xf>
    <xf numFmtId="0" fontId="0" fillId="0" borderId="11" xfId="0" applyFill="1" applyBorder="1"/>
    <xf numFmtId="166" fontId="0" fillId="0" borderId="11" xfId="0" applyNumberFormat="1" applyFill="1" applyBorder="1"/>
    <xf numFmtId="1" fontId="10" fillId="0" borderId="11" xfId="0" applyNumberFormat="1" applyFont="1" applyFill="1" applyBorder="1"/>
    <xf numFmtId="166" fontId="10" fillId="32" borderId="11" xfId="0" applyNumberFormat="1" applyFont="1" applyFill="1" applyBorder="1"/>
    <xf numFmtId="4" fontId="10" fillId="32" borderId="11" xfId="28" applyNumberFormat="1" applyFont="1" applyFill="1" applyBorder="1"/>
    <xf numFmtId="4" fontId="10" fillId="32" borderId="34" xfId="28" applyNumberFormat="1" applyFont="1" applyFill="1" applyBorder="1"/>
    <xf numFmtId="40" fontId="10" fillId="32" borderId="11" xfId="0" applyNumberFormat="1" applyFont="1" applyFill="1" applyBorder="1"/>
    <xf numFmtId="168" fontId="10" fillId="0" borderId="11" xfId="48" applyNumberFormat="1" applyFont="1" applyFill="1" applyBorder="1"/>
    <xf numFmtId="168" fontId="10" fillId="0" borderId="13" xfId="48" applyNumberFormat="1" applyFont="1" applyFill="1" applyBorder="1"/>
    <xf numFmtId="0" fontId="27" fillId="0" borderId="12" xfId="0" applyFont="1" applyFill="1" applyBorder="1" applyAlignment="1">
      <alignment horizontal="right"/>
    </xf>
    <xf numFmtId="168" fontId="10" fillId="25" borderId="11" xfId="48" applyNumberFormat="1" applyFont="1" applyFill="1" applyBorder="1"/>
    <xf numFmtId="166" fontId="10" fillId="25" borderId="45" xfId="0" applyNumberFormat="1" applyFont="1" applyFill="1" applyBorder="1"/>
    <xf numFmtId="2" fontId="45" fillId="0" borderId="11" xfId="45" applyNumberFormat="1" applyFont="1" applyFill="1" applyBorder="1" applyAlignment="1">
      <alignment horizontal="right" wrapText="1"/>
    </xf>
    <xf numFmtId="2" fontId="45" fillId="0" borderId="13" xfId="45" applyNumberFormat="1" applyFont="1" applyFill="1" applyBorder="1" applyAlignment="1">
      <alignment horizontal="right" wrapText="1"/>
    </xf>
    <xf numFmtId="2" fontId="0" fillId="0" borderId="11" xfId="0" applyNumberFormat="1" applyFill="1" applyBorder="1"/>
    <xf numFmtId="0" fontId="48" fillId="28" borderId="35" xfId="0" applyFont="1" applyFill="1" applyBorder="1" applyAlignment="1">
      <alignment horizontal="center" wrapText="1"/>
    </xf>
    <xf numFmtId="0" fontId="74" fillId="28" borderId="35" xfId="0" applyFont="1" applyFill="1" applyBorder="1" applyAlignment="1">
      <alignment horizontal="right" wrapText="1"/>
    </xf>
    <xf numFmtId="0" fontId="74" fillId="28" borderId="35" xfId="0" applyFont="1" applyFill="1" applyBorder="1" applyAlignment="1">
      <alignment horizontal="left" wrapText="1"/>
    </xf>
    <xf numFmtId="0" fontId="74" fillId="28" borderId="13" xfId="0" applyFont="1" applyFill="1" applyBorder="1" applyAlignment="1">
      <alignment horizontal="right" wrapText="1"/>
    </xf>
    <xf numFmtId="3" fontId="48" fillId="0" borderId="35" xfId="0" applyNumberFormat="1" applyFont="1" applyFill="1" applyBorder="1" applyAlignment="1">
      <alignment horizontal="right"/>
    </xf>
    <xf numFmtId="6" fontId="48" fillId="0" borderId="35" xfId="0" applyNumberFormat="1" applyFont="1" applyBorder="1" applyAlignment="1">
      <alignment horizontal="right"/>
    </xf>
    <xf numFmtId="6" fontId="48" fillId="0" borderId="13" xfId="0" applyNumberFormat="1" applyFont="1" applyBorder="1" applyAlignment="1">
      <alignment horizontal="right"/>
    </xf>
    <xf numFmtId="0" fontId="48" fillId="33" borderId="35" xfId="0" applyFont="1" applyFill="1" applyBorder="1" applyAlignment="1">
      <alignment horizontal="right" wrapText="1"/>
    </xf>
    <xf numFmtId="3" fontId="73" fillId="33" borderId="14" xfId="0" applyNumberFormat="1" applyFont="1" applyFill="1" applyBorder="1" applyAlignment="1">
      <alignment horizontal="right"/>
    </xf>
    <xf numFmtId="6" fontId="60" fillId="33" borderId="14" xfId="0" applyNumberFormat="1" applyFont="1" applyFill="1" applyBorder="1" applyAlignment="1">
      <alignment horizontal="right"/>
    </xf>
    <xf numFmtId="0" fontId="97" fillId="0" borderId="0" xfId="0" applyFont="1" applyFill="1"/>
    <xf numFmtId="0" fontId="73" fillId="0" borderId="13" xfId="0" applyFont="1" applyFill="1" applyBorder="1" applyAlignment="1">
      <alignment horizontal="center" wrapText="1"/>
    </xf>
    <xf numFmtId="6" fontId="73" fillId="0" borderId="13" xfId="0" applyNumberFormat="1" applyFont="1" applyBorder="1" applyAlignment="1">
      <alignment horizontal="right"/>
    </xf>
    <xf numFmtId="6" fontId="73" fillId="0" borderId="35" xfId="0" applyNumberFormat="1" applyFont="1" applyBorder="1" applyAlignment="1">
      <alignment horizontal="right"/>
    </xf>
    <xf numFmtId="3" fontId="48" fillId="0" borderId="26" xfId="0" applyNumberFormat="1" applyFont="1" applyFill="1" applyBorder="1" applyAlignment="1">
      <alignment horizontal="right"/>
    </xf>
    <xf numFmtId="166" fontId="10" fillId="27" borderId="11" xfId="28" applyNumberFormat="1" applyFont="1" applyFill="1" applyBorder="1"/>
    <xf numFmtId="166" fontId="10" fillId="0" borderId="11" xfId="28" applyNumberFormat="1" applyFont="1" applyBorder="1"/>
    <xf numFmtId="166" fontId="10" fillId="27" borderId="13" xfId="28" applyNumberFormat="1" applyFont="1" applyFill="1" applyBorder="1"/>
    <xf numFmtId="166" fontId="10" fillId="0" borderId="13" xfId="28" applyNumberFormat="1" applyFont="1" applyBorder="1"/>
    <xf numFmtId="10" fontId="15" fillId="0" borderId="95" xfId="0" applyNumberFormat="1" applyFont="1" applyFill="1" applyBorder="1" applyAlignment="1" applyProtection="1">
      <alignment vertical="top"/>
    </xf>
    <xf numFmtId="10" fontId="15" fillId="0" borderId="96" xfId="0" applyNumberFormat="1" applyFont="1" applyFill="1" applyBorder="1" applyProtection="1"/>
    <xf numFmtId="10" fontId="15" fillId="0" borderId="97" xfId="0" applyNumberFormat="1" applyFont="1" applyFill="1" applyBorder="1" applyProtection="1"/>
    <xf numFmtId="10" fontId="13" fillId="0" borderId="97" xfId="0" applyNumberFormat="1" applyFont="1" applyFill="1" applyBorder="1" applyProtection="1"/>
    <xf numFmtId="10" fontId="15" fillId="0" borderId="98" xfId="0" applyNumberFormat="1" applyFont="1" applyFill="1" applyBorder="1" applyProtection="1"/>
    <xf numFmtId="10" fontId="23" fillId="0" borderId="97" xfId="0" applyNumberFormat="1" applyFont="1" applyFill="1" applyBorder="1" applyProtection="1"/>
    <xf numFmtId="10" fontId="15" fillId="0" borderId="99" xfId="0" applyNumberFormat="1" applyFont="1" applyFill="1" applyBorder="1" applyProtection="1"/>
    <xf numFmtId="10" fontId="23" fillId="0" borderId="100" xfId="0" applyNumberFormat="1" applyFont="1" applyFill="1" applyBorder="1" applyProtection="1"/>
    <xf numFmtId="10" fontId="23" fillId="0" borderId="101" xfId="0" applyNumberFormat="1" applyFont="1" applyFill="1" applyBorder="1" applyProtection="1"/>
    <xf numFmtId="10" fontId="15" fillId="0" borderId="102" xfId="0" applyNumberFormat="1" applyFont="1" applyFill="1" applyBorder="1" applyProtection="1"/>
    <xf numFmtId="10" fontId="40" fillId="27" borderId="100" xfId="0" applyNumberFormat="1" applyFont="1" applyFill="1" applyBorder="1" applyProtection="1"/>
    <xf numFmtId="10" fontId="40" fillId="0" borderId="103" xfId="0" applyNumberFormat="1" applyFont="1" applyFill="1" applyBorder="1" applyProtection="1"/>
    <xf numFmtId="10" fontId="15" fillId="0" borderId="104" xfId="0" applyNumberFormat="1" applyFont="1" applyFill="1" applyBorder="1" applyProtection="1"/>
    <xf numFmtId="10" fontId="15" fillId="0" borderId="105" xfId="0" applyNumberFormat="1" applyFont="1" applyFill="1" applyBorder="1" applyProtection="1"/>
    <xf numFmtId="10" fontId="15" fillId="0" borderId="106" xfId="0" applyNumberFormat="1" applyFont="1" applyFill="1" applyBorder="1" applyProtection="1"/>
    <xf numFmtId="10" fontId="23" fillId="27" borderId="107" xfId="0" applyNumberFormat="1" applyFont="1" applyFill="1" applyBorder="1" applyAlignment="1" applyProtection="1">
      <alignment vertical="center"/>
    </xf>
    <xf numFmtId="10" fontId="40" fillId="0" borderId="97" xfId="0" applyNumberFormat="1" applyFont="1" applyFill="1" applyBorder="1" applyProtection="1"/>
    <xf numFmtId="10" fontId="15" fillId="27" borderId="108" xfId="0" applyNumberFormat="1" applyFont="1" applyFill="1" applyBorder="1" applyAlignment="1" applyProtection="1">
      <alignment vertical="center"/>
    </xf>
    <xf numFmtId="10" fontId="15" fillId="0" borderId="109" xfId="0" applyNumberFormat="1" applyFont="1" applyFill="1" applyBorder="1" applyProtection="1"/>
    <xf numFmtId="0" fontId="13" fillId="0" borderId="110" xfId="0" applyFont="1" applyFill="1" applyBorder="1" applyAlignment="1">
      <alignment horizontal="left" vertical="center" wrapText="1"/>
    </xf>
    <xf numFmtId="5" fontId="15" fillId="0" borderId="111" xfId="0" applyNumberFormat="1" applyFont="1" applyFill="1" applyBorder="1" applyAlignment="1" applyProtection="1">
      <alignment vertical="center"/>
    </xf>
    <xf numFmtId="10" fontId="15" fillId="0" borderId="112" xfId="0" applyNumberFormat="1" applyFont="1" applyFill="1" applyBorder="1" applyProtection="1"/>
    <xf numFmtId="0" fontId="23" fillId="27" borderId="113" xfId="0" applyFont="1" applyFill="1" applyBorder="1" applyAlignment="1">
      <alignment horizontal="center" vertical="center"/>
    </xf>
    <xf numFmtId="5" fontId="23" fillId="27" borderId="114" xfId="0" applyNumberFormat="1" applyFont="1" applyFill="1" applyBorder="1" applyAlignment="1" applyProtection="1">
      <alignment vertical="center"/>
    </xf>
    <xf numFmtId="0" fontId="13" fillId="0" borderId="86" xfId="0" applyFont="1" applyFill="1" applyBorder="1" applyAlignment="1">
      <alignment horizontal="left" vertical="center" wrapText="1"/>
    </xf>
    <xf numFmtId="5" fontId="15" fillId="0" borderId="92" xfId="0" applyNumberFormat="1" applyFont="1" applyFill="1" applyBorder="1" applyAlignment="1" applyProtection="1">
      <alignment vertical="center"/>
    </xf>
    <xf numFmtId="10" fontId="15" fillId="0" borderId="115" xfId="0" applyNumberFormat="1" applyFont="1" applyFill="1" applyBorder="1" applyProtection="1"/>
    <xf numFmtId="0" fontId="98" fillId="0" borderId="0" xfId="0" applyFont="1" applyBorder="1"/>
    <xf numFmtId="0" fontId="98" fillId="26" borderId="13" xfId="0" applyFont="1" applyFill="1" applyBorder="1" applyAlignment="1">
      <alignment horizontal="center" vertical="center"/>
    </xf>
    <xf numFmtId="0" fontId="98" fillId="26" borderId="26" xfId="0" applyFont="1" applyFill="1" applyBorder="1" applyAlignment="1">
      <alignment horizontal="center" vertical="center"/>
    </xf>
    <xf numFmtId="0" fontId="98" fillId="26" borderId="26" xfId="0" applyFont="1" applyFill="1" applyBorder="1" applyAlignment="1">
      <alignment horizontal="center" vertical="center" wrapText="1"/>
    </xf>
    <xf numFmtId="0" fontId="98" fillId="0" borderId="0" xfId="0" applyFont="1" applyBorder="1" applyAlignment="1">
      <alignment horizontal="center" vertical="center"/>
    </xf>
    <xf numFmtId="38" fontId="75" fillId="0" borderId="26" xfId="0" applyNumberFormat="1" applyFont="1" applyFill="1" applyBorder="1" applyAlignment="1">
      <alignment horizontal="center"/>
    </xf>
    <xf numFmtId="6" fontId="75" fillId="0" borderId="26" xfId="0" applyNumberFormat="1" applyFont="1" applyBorder="1" applyAlignment="1">
      <alignment horizontal="center"/>
    </xf>
    <xf numFmtId="6" fontId="75" fillId="0" borderId="26" xfId="0" applyNumberFormat="1" applyFont="1" applyBorder="1" applyAlignment="1">
      <alignment horizontal="center" wrapText="1"/>
    </xf>
    <xf numFmtId="6" fontId="75" fillId="0" borderId="26" xfId="0" applyNumberFormat="1" applyFont="1" applyFill="1" applyBorder="1" applyAlignment="1">
      <alignment horizontal="center"/>
    </xf>
    <xf numFmtId="0" fontId="75" fillId="0" borderId="0" xfId="0" applyFont="1" applyBorder="1"/>
    <xf numFmtId="0" fontId="101" fillId="0" borderId="0" xfId="0" quotePrefix="1" applyFont="1" applyFill="1" applyBorder="1" applyAlignment="1">
      <alignment horizontal="left" wrapText="1"/>
    </xf>
    <xf numFmtId="6" fontId="102" fillId="0" borderId="0" xfId="0" applyNumberFormat="1" applyFont="1" applyBorder="1" applyAlignment="1">
      <alignment horizontal="right"/>
    </xf>
    <xf numFmtId="38" fontId="102" fillId="0" borderId="0" xfId="0" applyNumberFormat="1" applyFont="1" applyBorder="1" applyAlignment="1">
      <alignment horizontal="right"/>
    </xf>
    <xf numFmtId="6" fontId="98" fillId="0" borderId="0" xfId="0" applyNumberFormat="1" applyFont="1" applyBorder="1"/>
    <xf numFmtId="0" fontId="102" fillId="0" borderId="0" xfId="0" applyFont="1" applyFill="1" applyBorder="1" applyAlignment="1">
      <alignment horizontal="left"/>
    </xf>
    <xf numFmtId="0" fontId="102" fillId="0" borderId="0" xfId="0" applyFont="1" applyBorder="1"/>
    <xf numFmtId="5" fontId="10" fillId="27" borderId="11" xfId="0" applyNumberFormat="1" applyFont="1" applyFill="1" applyBorder="1" applyProtection="1"/>
    <xf numFmtId="5" fontId="10" fillId="27" borderId="72" xfId="0" applyNumberFormat="1" applyFont="1" applyFill="1" applyBorder="1" applyProtection="1"/>
    <xf numFmtId="5" fontId="10" fillId="27" borderId="74" xfId="0" applyNumberFormat="1" applyFont="1" applyFill="1" applyBorder="1" applyProtection="1"/>
    <xf numFmtId="6" fontId="10" fillId="27" borderId="11" xfId="0" applyNumberFormat="1" applyFont="1" applyFill="1" applyBorder="1" applyProtection="1"/>
    <xf numFmtId="6" fontId="10" fillId="27" borderId="72" xfId="0" applyNumberFormat="1" applyFont="1" applyFill="1" applyBorder="1" applyProtection="1"/>
    <xf numFmtId="0" fontId="0" fillId="0" borderId="34" xfId="0" applyBorder="1" applyAlignment="1">
      <alignment wrapText="1"/>
    </xf>
    <xf numFmtId="0" fontId="0" fillId="0" borderId="0" xfId="0" applyBorder="1" applyAlignment="1">
      <alignment wrapText="1"/>
    </xf>
    <xf numFmtId="0" fontId="63" fillId="28" borderId="36" xfId="0" applyFont="1" applyFill="1" applyBorder="1" applyAlignment="1">
      <alignment horizontal="left" wrapText="1"/>
    </xf>
    <xf numFmtId="6" fontId="73" fillId="27" borderId="13" xfId="0" applyNumberFormat="1" applyFont="1" applyFill="1" applyBorder="1" applyAlignment="1">
      <alignment horizontal="right"/>
    </xf>
    <xf numFmtId="6" fontId="60" fillId="27" borderId="13" xfId="0" applyNumberFormat="1" applyFont="1" applyFill="1" applyBorder="1" applyAlignment="1">
      <alignment horizontal="right"/>
    </xf>
    <xf numFmtId="6" fontId="48" fillId="27" borderId="13" xfId="0" applyNumberFormat="1" applyFont="1" applyFill="1" applyBorder="1" applyAlignment="1">
      <alignment horizontal="right"/>
    </xf>
    <xf numFmtId="0" fontId="74" fillId="27" borderId="13" xfId="0" applyFont="1" applyFill="1" applyBorder="1" applyAlignment="1">
      <alignment horizontal="right" wrapText="1"/>
    </xf>
    <xf numFmtId="38" fontId="60" fillId="33" borderId="14" xfId="0" applyNumberFormat="1" applyFont="1" applyFill="1" applyBorder="1" applyAlignment="1">
      <alignment horizontal="right"/>
    </xf>
    <xf numFmtId="38" fontId="48" fillId="0" borderId="26" xfId="0" applyNumberFormat="1" applyFont="1" applyBorder="1" applyAlignment="1">
      <alignment horizontal="left"/>
    </xf>
    <xf numFmtId="6" fontId="48" fillId="0" borderId="26" xfId="0" applyNumberFormat="1" applyFont="1" applyFill="1" applyBorder="1" applyAlignment="1">
      <alignment horizontal="right"/>
    </xf>
    <xf numFmtId="6" fontId="48" fillId="27" borderId="26" xfId="0" applyNumberFormat="1" applyFont="1" applyFill="1" applyBorder="1" applyAlignment="1">
      <alignment horizontal="right"/>
    </xf>
    <xf numFmtId="0" fontId="71" fillId="0" borderId="0" xfId="0" applyFont="1" applyFill="1" applyBorder="1" applyAlignment="1">
      <alignment horizontal="left" vertical="center" wrapText="1"/>
    </xf>
    <xf numFmtId="6" fontId="0" fillId="27" borderId="13" xfId="0" applyNumberFormat="1" applyFill="1" applyBorder="1"/>
    <xf numFmtId="6" fontId="27" fillId="27" borderId="12" xfId="0" applyNumberFormat="1" applyFont="1" applyFill="1" applyBorder="1"/>
    <xf numFmtId="0" fontId="24" fillId="25" borderId="13" xfId="0" applyFont="1" applyFill="1" applyBorder="1" applyAlignment="1">
      <alignment horizontal="center" wrapText="1"/>
    </xf>
    <xf numFmtId="10" fontId="10" fillId="0" borderId="0" xfId="0" applyNumberFormat="1" applyFont="1" applyBorder="1"/>
    <xf numFmtId="6" fontId="75" fillId="0" borderId="26" xfId="0" applyNumberFormat="1" applyFont="1" applyFill="1" applyBorder="1" applyAlignment="1">
      <alignment horizontal="center" wrapText="1"/>
    </xf>
    <xf numFmtId="6" fontId="75" fillId="28" borderId="26" xfId="0" applyNumberFormat="1" applyFont="1" applyFill="1" applyBorder="1" applyAlignment="1">
      <alignment horizontal="center" wrapText="1"/>
    </xf>
    <xf numFmtId="0" fontId="10" fillId="0" borderId="0" xfId="0" applyFont="1" applyAlignment="1"/>
    <xf numFmtId="10" fontId="10" fillId="41" borderId="11" xfId="48" applyNumberFormat="1" applyFont="1" applyFill="1" applyBorder="1"/>
    <xf numFmtId="6" fontId="10" fillId="41" borderId="11" xfId="32" applyNumberFormat="1" applyFont="1" applyFill="1" applyBorder="1"/>
    <xf numFmtId="10" fontId="10" fillId="39" borderId="11" xfId="48" applyNumberFormat="1" applyFont="1" applyFill="1" applyBorder="1"/>
    <xf numFmtId="6" fontId="10" fillId="39" borderId="11" xfId="32" applyNumberFormat="1" applyFont="1" applyFill="1" applyBorder="1"/>
    <xf numFmtId="10" fontId="10" fillId="39" borderId="13" xfId="48" applyNumberFormat="1" applyFont="1" applyFill="1" applyBorder="1"/>
    <xf numFmtId="6" fontId="10" fillId="39" borderId="13" xfId="32" applyNumberFormat="1" applyFont="1" applyFill="1" applyBorder="1"/>
    <xf numFmtId="1" fontId="45" fillId="0" borderId="11" xfId="45" applyNumberFormat="1" applyFont="1" applyFill="1" applyBorder="1" applyAlignment="1">
      <alignment horizontal="right" wrapText="1"/>
    </xf>
    <xf numFmtId="10" fontId="10" fillId="41" borderId="11" xfId="0" applyNumberFormat="1" applyFont="1" applyFill="1" applyBorder="1"/>
    <xf numFmtId="10" fontId="10" fillId="41" borderId="13" xfId="0" applyNumberFormat="1" applyFont="1" applyFill="1" applyBorder="1"/>
    <xf numFmtId="10" fontId="10" fillId="39" borderId="11" xfId="0" applyNumberFormat="1" applyFont="1" applyFill="1" applyBorder="1"/>
    <xf numFmtId="166" fontId="10" fillId="41" borderId="11" xfId="0" applyNumberFormat="1" applyFont="1" applyFill="1" applyBorder="1"/>
    <xf numFmtId="166" fontId="10" fillId="41" borderId="13" xfId="0" applyNumberFormat="1" applyFont="1" applyFill="1" applyBorder="1"/>
    <xf numFmtId="166" fontId="10" fillId="39" borderId="11" xfId="0" applyNumberFormat="1" applyFont="1" applyFill="1" applyBorder="1"/>
    <xf numFmtId="9" fontId="21" fillId="27" borderId="26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168" fontId="51" fillId="0" borderId="0" xfId="0" applyNumberFormat="1" applyFont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3" fontId="10" fillId="41" borderId="11" xfId="0" applyNumberFormat="1" applyFont="1" applyFill="1" applyBorder="1"/>
    <xf numFmtId="0" fontId="60" fillId="0" borderId="35" xfId="0" applyFont="1" applyBorder="1" applyAlignment="1">
      <alignment horizontal="left" wrapText="1"/>
    </xf>
    <xf numFmtId="0" fontId="60" fillId="0" borderId="26" xfId="0" applyFont="1" applyBorder="1" applyAlignment="1">
      <alignment horizontal="left" wrapText="1"/>
    </xf>
    <xf numFmtId="0" fontId="60" fillId="0" borderId="35" xfId="0" applyFont="1" applyFill="1" applyBorder="1" applyAlignment="1">
      <alignment horizontal="left" wrapText="1"/>
    </xf>
    <xf numFmtId="38" fontId="10" fillId="0" borderId="74" xfId="0" applyNumberFormat="1" applyFont="1" applyFill="1" applyBorder="1" applyProtection="1"/>
    <xf numFmtId="49" fontId="66" fillId="41" borderId="34" xfId="0" applyNumberFormat="1" applyFont="1" applyFill="1" applyBorder="1" applyAlignment="1">
      <alignment horizontal="center" vertical="center" wrapText="1"/>
    </xf>
    <xf numFmtId="49" fontId="66" fillId="41" borderId="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49" fontId="27" fillId="42" borderId="26" xfId="0" applyNumberFormat="1" applyFont="1" applyFill="1" applyBorder="1" applyAlignment="1">
      <alignment horizontal="center" vertical="center" wrapText="1"/>
    </xf>
    <xf numFmtId="49" fontId="27" fillId="41" borderId="34" xfId="0" applyNumberFormat="1" applyFont="1" applyFill="1" applyBorder="1" applyAlignment="1">
      <alignment horizontal="center" vertical="center" wrapText="1"/>
    </xf>
    <xf numFmtId="49" fontId="27" fillId="41" borderId="0" xfId="0" applyNumberFormat="1" applyFont="1" applyFill="1" applyBorder="1" applyAlignment="1">
      <alignment horizontal="center" vertical="center" wrapText="1"/>
    </xf>
    <xf numFmtId="10" fontId="27" fillId="42" borderId="26" xfId="49" applyNumberFormat="1" applyFont="1" applyFill="1" applyBorder="1" applyAlignment="1">
      <alignment horizontal="center" vertical="center" wrapText="1"/>
    </xf>
    <xf numFmtId="6" fontId="27" fillId="42" borderId="26" xfId="49" applyNumberFormat="1" applyFont="1" applyFill="1" applyBorder="1" applyAlignment="1">
      <alignment horizontal="center" vertical="center" wrapText="1"/>
    </xf>
    <xf numFmtId="1" fontId="10" fillId="26" borderId="11" xfId="0" applyNumberFormat="1" applyFont="1" applyFill="1" applyBorder="1" applyAlignment="1" applyProtection="1">
      <alignment horizontal="center"/>
    </xf>
    <xf numFmtId="1" fontId="12" fillId="26" borderId="11" xfId="0" applyNumberFormat="1" applyFont="1" applyFill="1" applyBorder="1" applyAlignment="1" applyProtection="1">
      <alignment horizontal="center"/>
    </xf>
    <xf numFmtId="1" fontId="21" fillId="26" borderId="10" xfId="0" quotePrefix="1" applyNumberFormat="1" applyFont="1" applyFill="1" applyBorder="1" applyAlignment="1" applyProtection="1">
      <alignment horizontal="center"/>
    </xf>
    <xf numFmtId="1" fontId="10" fillId="0" borderId="0" xfId="0" applyNumberFormat="1" applyFont="1" applyAlignment="1">
      <alignment horizontal="center"/>
    </xf>
    <xf numFmtId="1" fontId="10" fillId="26" borderId="26" xfId="0" applyNumberFormat="1" applyFont="1" applyFill="1" applyBorder="1" applyAlignment="1" applyProtection="1">
      <alignment horizontal="center"/>
    </xf>
    <xf numFmtId="1" fontId="12" fillId="26" borderId="26" xfId="0" applyNumberFormat="1" applyFont="1" applyFill="1" applyBorder="1" applyAlignment="1" applyProtection="1">
      <alignment horizontal="center"/>
    </xf>
    <xf numFmtId="1" fontId="21" fillId="26" borderId="26" xfId="0" applyNumberFormat="1" applyFont="1" applyFill="1" applyBorder="1" applyAlignment="1" applyProtection="1">
      <alignment horizontal="center"/>
    </xf>
    <xf numFmtId="1" fontId="21" fillId="26" borderId="26" xfId="0" applyNumberFormat="1" applyFont="1" applyFill="1" applyBorder="1" applyAlignment="1" applyProtection="1">
      <alignment horizontal="center" wrapText="1"/>
    </xf>
    <xf numFmtId="1" fontId="21" fillId="41" borderId="34" xfId="0" applyNumberFormat="1" applyFont="1" applyFill="1" applyBorder="1" applyAlignment="1" applyProtection="1">
      <alignment horizontal="center"/>
    </xf>
    <xf numFmtId="1" fontId="21" fillId="41" borderId="0" xfId="0" applyNumberFormat="1" applyFont="1" applyFill="1" applyBorder="1" applyAlignment="1" applyProtection="1">
      <alignment horizontal="center"/>
    </xf>
    <xf numFmtId="1" fontId="21" fillId="26" borderId="42" xfId="0" applyNumberFormat="1" applyFont="1" applyFill="1" applyBorder="1" applyAlignment="1" applyProtection="1">
      <alignment horizontal="center" wrapText="1"/>
    </xf>
    <xf numFmtId="1" fontId="10" fillId="0" borderId="26" xfId="0" applyNumberFormat="1" applyFont="1" applyBorder="1" applyAlignment="1">
      <alignment horizontal="center"/>
    </xf>
    <xf numFmtId="0" fontId="10" fillId="0" borderId="116" xfId="0" applyFont="1" applyFill="1" applyBorder="1" applyProtection="1"/>
    <xf numFmtId="0" fontId="10" fillId="0" borderId="117" xfId="0" applyFont="1" applyFill="1" applyBorder="1" applyProtection="1"/>
    <xf numFmtId="172" fontId="10" fillId="41" borderId="117" xfId="30" applyNumberFormat="1" applyFont="1" applyFill="1" applyBorder="1" applyAlignment="1" applyProtection="1">
      <alignment horizontal="right"/>
    </xf>
    <xf numFmtId="166" fontId="10" fillId="0" borderId="118" xfId="30" applyNumberFormat="1" applyFont="1" applyFill="1" applyBorder="1" applyAlignment="1" applyProtection="1">
      <alignment horizontal="right"/>
    </xf>
    <xf numFmtId="166" fontId="10" fillId="42" borderId="118" xfId="30" applyNumberFormat="1" applyFont="1" applyFill="1" applyBorder="1" applyAlignment="1" applyProtection="1">
      <alignment horizontal="right"/>
    </xf>
    <xf numFmtId="166" fontId="10" fillId="41" borderId="69" xfId="30" applyNumberFormat="1" applyFont="1" applyFill="1" applyBorder="1" applyAlignment="1" applyProtection="1">
      <alignment horizontal="right"/>
    </xf>
    <xf numFmtId="166" fontId="10" fillId="41" borderId="0" xfId="30" applyNumberFormat="1" applyFont="1" applyFill="1" applyBorder="1" applyAlignment="1" applyProtection="1">
      <alignment horizontal="right"/>
    </xf>
    <xf numFmtId="166" fontId="10" fillId="0" borderId="119" xfId="0" applyNumberFormat="1" applyFont="1" applyFill="1" applyBorder="1" applyAlignment="1" applyProtection="1">
      <alignment horizontal="right"/>
    </xf>
    <xf numFmtId="3" fontId="10" fillId="41" borderId="117" xfId="30" applyNumberFormat="1" applyFont="1" applyFill="1" applyBorder="1" applyAlignment="1" applyProtection="1">
      <alignment horizontal="right"/>
    </xf>
    <xf numFmtId="166" fontId="10" fillId="0" borderId="117" xfId="0" applyNumberFormat="1" applyFont="1" applyFill="1" applyBorder="1" applyAlignment="1" applyProtection="1">
      <alignment horizontal="right"/>
    </xf>
    <xf numFmtId="166" fontId="10" fillId="43" borderId="117" xfId="0" applyNumberFormat="1" applyFont="1" applyFill="1" applyBorder="1" applyAlignment="1" applyProtection="1">
      <alignment horizontal="right"/>
    </xf>
    <xf numFmtId="166" fontId="10" fillId="44" borderId="117" xfId="0" applyNumberFormat="1" applyFont="1" applyFill="1" applyBorder="1" applyAlignment="1" applyProtection="1">
      <alignment horizontal="right"/>
    </xf>
    <xf numFmtId="0" fontId="10" fillId="0" borderId="120" xfId="0" applyFont="1" applyFill="1" applyBorder="1" applyProtection="1"/>
    <xf numFmtId="0" fontId="10" fillId="0" borderId="121" xfId="0" applyFont="1" applyFill="1" applyBorder="1" applyProtection="1"/>
    <xf numFmtId="172" fontId="10" fillId="41" borderId="121" xfId="30" applyNumberFormat="1" applyFont="1" applyFill="1" applyBorder="1" applyAlignment="1" applyProtection="1">
      <alignment horizontal="right"/>
    </xf>
    <xf numFmtId="166" fontId="10" fillId="0" borderId="122" xfId="30" applyNumberFormat="1" applyFont="1" applyFill="1" applyBorder="1" applyAlignment="1" applyProtection="1">
      <alignment horizontal="right"/>
    </xf>
    <xf numFmtId="166" fontId="10" fillId="42" borderId="122" xfId="30" applyNumberFormat="1" applyFont="1" applyFill="1" applyBorder="1" applyAlignment="1" applyProtection="1">
      <alignment horizontal="right"/>
    </xf>
    <xf numFmtId="3" fontId="10" fillId="41" borderId="121" xfId="30" applyNumberFormat="1" applyFont="1" applyFill="1" applyBorder="1" applyAlignment="1" applyProtection="1">
      <alignment horizontal="right"/>
    </xf>
    <xf numFmtId="166" fontId="10" fillId="0" borderId="121" xfId="0" applyNumberFormat="1" applyFont="1" applyFill="1" applyBorder="1" applyAlignment="1" applyProtection="1">
      <alignment horizontal="right"/>
    </xf>
    <xf numFmtId="166" fontId="10" fillId="43" borderId="121" xfId="0" applyNumberFormat="1" applyFont="1" applyFill="1" applyBorder="1" applyAlignment="1" applyProtection="1">
      <alignment horizontal="right"/>
    </xf>
    <xf numFmtId="166" fontId="10" fillId="44" borderId="121" xfId="0" applyNumberFormat="1" applyFont="1" applyFill="1" applyBorder="1" applyAlignment="1" applyProtection="1">
      <alignment horizontal="right"/>
    </xf>
    <xf numFmtId="166" fontId="10" fillId="41" borderId="69" xfId="30" applyNumberFormat="1" applyFont="1" applyFill="1" applyBorder="1" applyAlignment="1" applyProtection="1">
      <alignment horizontal="right" wrapText="1"/>
    </xf>
    <xf numFmtId="0" fontId="10" fillId="41" borderId="0" xfId="0" applyFont="1" applyFill="1" applyBorder="1" applyAlignment="1">
      <alignment horizontal="center"/>
    </xf>
    <xf numFmtId="0" fontId="10" fillId="0" borderId="123" xfId="0" applyFont="1" applyFill="1" applyBorder="1" applyProtection="1"/>
    <xf numFmtId="0" fontId="10" fillId="0" borderId="124" xfId="0" applyFont="1" applyFill="1" applyBorder="1" applyProtection="1"/>
    <xf numFmtId="172" fontId="10" fillId="41" borderId="124" xfId="30" applyNumberFormat="1" applyFont="1" applyFill="1" applyBorder="1" applyAlignment="1" applyProtection="1">
      <alignment horizontal="right"/>
    </xf>
    <xf numFmtId="166" fontId="10" fillId="0" borderId="125" xfId="30" applyNumberFormat="1" applyFont="1" applyFill="1" applyBorder="1" applyAlignment="1" applyProtection="1">
      <alignment horizontal="right"/>
    </xf>
    <xf numFmtId="166" fontId="10" fillId="42" borderId="125" xfId="30" applyNumberFormat="1" applyFont="1" applyFill="1" applyBorder="1" applyAlignment="1" applyProtection="1">
      <alignment horizontal="right"/>
    </xf>
    <xf numFmtId="166" fontId="10" fillId="41" borderId="0" xfId="30" applyNumberFormat="1" applyFont="1" applyFill="1" applyBorder="1" applyAlignment="1" applyProtection="1"/>
    <xf numFmtId="166" fontId="10" fillId="0" borderId="126" xfId="0" applyNumberFormat="1" applyFont="1" applyFill="1" applyBorder="1" applyAlignment="1" applyProtection="1">
      <alignment horizontal="right"/>
    </xf>
    <xf numFmtId="3" fontId="10" fillId="41" borderId="124" xfId="30" applyNumberFormat="1" applyFont="1" applyFill="1" applyBorder="1" applyAlignment="1" applyProtection="1">
      <alignment horizontal="right"/>
    </xf>
    <xf numFmtId="166" fontId="10" fillId="0" borderId="124" xfId="0" applyNumberFormat="1" applyFont="1" applyFill="1" applyBorder="1" applyAlignment="1" applyProtection="1">
      <alignment horizontal="right"/>
    </xf>
    <xf numFmtId="166" fontId="10" fillId="43" borderId="124" xfId="0" applyNumberFormat="1" applyFont="1" applyFill="1" applyBorder="1" applyAlignment="1" applyProtection="1">
      <alignment horizontal="right"/>
    </xf>
    <xf numFmtId="166" fontId="10" fillId="44" borderId="124" xfId="0" applyNumberFormat="1" applyFont="1" applyFill="1" applyBorder="1" applyAlignment="1" applyProtection="1">
      <alignment horizontal="right"/>
    </xf>
    <xf numFmtId="166" fontId="10" fillId="41" borderId="0" xfId="30" applyNumberFormat="1" applyFont="1" applyFill="1" applyBorder="1" applyAlignment="1" applyProtection="1">
      <alignment horizontal="left"/>
    </xf>
    <xf numFmtId="172" fontId="10" fillId="41" borderId="121" xfId="0" applyNumberFormat="1" applyFont="1" applyFill="1" applyBorder="1" applyAlignment="1" applyProtection="1">
      <alignment horizontal="right"/>
    </xf>
    <xf numFmtId="166" fontId="10" fillId="0" borderId="122" xfId="0" applyNumberFormat="1" applyFont="1" applyFill="1" applyBorder="1" applyAlignment="1" applyProtection="1">
      <alignment horizontal="right"/>
    </xf>
    <xf numFmtId="166" fontId="10" fillId="42" borderId="122" xfId="0" applyNumberFormat="1" applyFont="1" applyFill="1" applyBorder="1" applyAlignment="1" applyProtection="1">
      <alignment horizontal="right"/>
    </xf>
    <xf numFmtId="166" fontId="10" fillId="41" borderId="69" xfId="0" applyNumberFormat="1" applyFont="1" applyFill="1" applyBorder="1" applyAlignment="1" applyProtection="1">
      <alignment horizontal="right"/>
    </xf>
    <xf numFmtId="166" fontId="10" fillId="41" borderId="0" xfId="0" applyNumberFormat="1" applyFont="1" applyFill="1" applyBorder="1" applyAlignment="1" applyProtection="1">
      <alignment horizontal="right"/>
    </xf>
    <xf numFmtId="3" fontId="10" fillId="41" borderId="121" xfId="0" applyNumberFormat="1" applyFont="1" applyFill="1" applyBorder="1" applyAlignment="1" applyProtection="1">
      <alignment horizontal="right"/>
    </xf>
    <xf numFmtId="172" fontId="10" fillId="41" borderId="124" xfId="0" applyNumberFormat="1" applyFont="1" applyFill="1" applyBorder="1" applyAlignment="1" applyProtection="1">
      <alignment horizontal="right"/>
    </xf>
    <xf numFmtId="166" fontId="10" fillId="0" borderId="125" xfId="0" applyNumberFormat="1" applyFont="1" applyFill="1" applyBorder="1" applyAlignment="1" applyProtection="1">
      <alignment horizontal="right"/>
    </xf>
    <xf numFmtId="166" fontId="10" fillId="42" borderId="125" xfId="0" applyNumberFormat="1" applyFont="1" applyFill="1" applyBorder="1" applyAlignment="1" applyProtection="1">
      <alignment horizontal="right"/>
    </xf>
    <xf numFmtId="3" fontId="10" fillId="41" borderId="124" xfId="0" applyNumberFormat="1" applyFont="1" applyFill="1" applyBorder="1" applyAlignment="1" applyProtection="1">
      <alignment horizontal="right"/>
    </xf>
    <xf numFmtId="172" fontId="10" fillId="41" borderId="117" xfId="0" applyNumberFormat="1" applyFont="1" applyFill="1" applyBorder="1" applyAlignment="1" applyProtection="1">
      <alignment horizontal="right"/>
    </xf>
    <xf numFmtId="166" fontId="10" fillId="0" borderId="118" xfId="0" applyNumberFormat="1" applyFont="1" applyFill="1" applyBorder="1" applyAlignment="1" applyProtection="1">
      <alignment horizontal="right"/>
    </xf>
    <xf numFmtId="166" fontId="10" fillId="42" borderId="118" xfId="0" applyNumberFormat="1" applyFont="1" applyFill="1" applyBorder="1" applyAlignment="1" applyProtection="1">
      <alignment horizontal="right"/>
    </xf>
    <xf numFmtId="3" fontId="10" fillId="41" borderId="117" xfId="0" applyNumberFormat="1" applyFont="1" applyFill="1" applyBorder="1" applyAlignment="1" applyProtection="1">
      <alignment horizontal="right"/>
    </xf>
    <xf numFmtId="0" fontId="10" fillId="0" borderId="127" xfId="0" applyFont="1" applyFill="1" applyBorder="1" applyProtection="1"/>
    <xf numFmtId="0" fontId="10" fillId="0" borderId="128" xfId="0" applyFont="1" applyFill="1" applyBorder="1" applyProtection="1"/>
    <xf numFmtId="172" fontId="10" fillId="41" borderId="128" xfId="0" applyNumberFormat="1" applyFont="1" applyFill="1" applyBorder="1" applyAlignment="1" applyProtection="1">
      <alignment horizontal="right"/>
    </xf>
    <xf numFmtId="166" fontId="10" fillId="0" borderId="129" xfId="0" applyNumberFormat="1" applyFont="1" applyFill="1" applyBorder="1" applyAlignment="1" applyProtection="1">
      <alignment horizontal="right"/>
    </xf>
    <xf numFmtId="166" fontId="10" fillId="42" borderId="129" xfId="0" applyNumberFormat="1" applyFont="1" applyFill="1" applyBorder="1" applyAlignment="1" applyProtection="1">
      <alignment horizontal="right"/>
    </xf>
    <xf numFmtId="3" fontId="10" fillId="41" borderId="128" xfId="0" applyNumberFormat="1" applyFont="1" applyFill="1" applyBorder="1" applyAlignment="1" applyProtection="1">
      <alignment horizontal="right"/>
    </xf>
    <xf numFmtId="166" fontId="10" fillId="0" borderId="128" xfId="0" applyNumberFormat="1" applyFont="1" applyFill="1" applyBorder="1" applyAlignment="1" applyProtection="1">
      <alignment horizontal="right"/>
    </xf>
    <xf numFmtId="166" fontId="10" fillId="43" borderId="128" xfId="0" applyNumberFormat="1" applyFont="1" applyFill="1" applyBorder="1" applyAlignment="1" applyProtection="1">
      <alignment horizontal="right"/>
    </xf>
    <xf numFmtId="166" fontId="10" fillId="44" borderId="128" xfId="0" applyNumberFormat="1" applyFont="1" applyFill="1" applyBorder="1" applyAlignment="1" applyProtection="1">
      <alignment horizontal="right"/>
    </xf>
    <xf numFmtId="0" fontId="12" fillId="0" borderId="130" xfId="0" applyFont="1" applyFill="1" applyBorder="1" applyProtection="1"/>
    <xf numFmtId="0" fontId="27" fillId="0" borderId="82" xfId="0" applyFont="1" applyFill="1" applyBorder="1" applyAlignment="1" applyProtection="1">
      <alignment horizontal="center"/>
    </xf>
    <xf numFmtId="172" fontId="27" fillId="41" borderId="82" xfId="30" applyNumberFormat="1" applyFont="1" applyFill="1" applyBorder="1" applyAlignment="1" applyProtection="1">
      <alignment horizontal="right"/>
    </xf>
    <xf numFmtId="166" fontId="27" fillId="0" borderId="83" xfId="30" applyNumberFormat="1" applyFont="1" applyFill="1" applyBorder="1" applyAlignment="1" applyProtection="1">
      <alignment horizontal="right"/>
    </xf>
    <xf numFmtId="166" fontId="27" fillId="42" borderId="83" xfId="30" applyNumberFormat="1" applyFont="1" applyFill="1" applyBorder="1" applyAlignment="1" applyProtection="1">
      <alignment horizontal="right"/>
    </xf>
    <xf numFmtId="166" fontId="27" fillId="41" borderId="0" xfId="30" applyNumberFormat="1" applyFont="1" applyFill="1" applyBorder="1" applyAlignment="1" applyProtection="1">
      <alignment horizontal="right"/>
    </xf>
    <xf numFmtId="166" fontId="12" fillId="0" borderId="131" xfId="0" applyNumberFormat="1" applyFont="1" applyFill="1" applyBorder="1" applyAlignment="1" applyProtection="1">
      <alignment horizontal="right"/>
    </xf>
    <xf numFmtId="3" fontId="27" fillId="41" borderId="82" xfId="30" applyNumberFormat="1" applyFont="1" applyFill="1" applyBorder="1" applyAlignment="1" applyProtection="1">
      <alignment horizontal="right"/>
    </xf>
    <xf numFmtId="166" fontId="27" fillId="43" borderId="82" xfId="30" applyNumberFormat="1" applyFont="1" applyFill="1" applyBorder="1" applyAlignment="1" applyProtection="1">
      <alignment horizontal="right"/>
    </xf>
    <xf numFmtId="166" fontId="27" fillId="44" borderId="82" xfId="30" applyNumberFormat="1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/>
    <xf numFmtId="38" fontId="27" fillId="0" borderId="0" xfId="30" applyNumberFormat="1" applyFont="1" applyFill="1" applyBorder="1" applyAlignment="1" applyProtection="1">
      <alignment horizontal="center"/>
    </xf>
    <xf numFmtId="0" fontId="12" fillId="41" borderId="0" xfId="0" applyFont="1" applyFill="1" applyBorder="1"/>
    <xf numFmtId="6" fontId="27" fillId="0" borderId="0" xfId="30" applyNumberFormat="1" applyFont="1" applyFill="1" applyBorder="1" applyAlignment="1" applyProtection="1">
      <alignment horizontal="center"/>
    </xf>
    <xf numFmtId="6" fontId="27" fillId="41" borderId="0" xfId="30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/>
    <xf numFmtId="0" fontId="10" fillId="0" borderId="0" xfId="0" quotePrefix="1" applyFont="1" applyAlignment="1">
      <alignment horizontal="center"/>
    </xf>
    <xf numFmtId="0" fontId="10" fillId="41" borderId="0" xfId="0" quotePrefix="1" applyFont="1" applyFill="1" applyBorder="1" applyAlignment="1">
      <alignment horizontal="center"/>
    </xf>
    <xf numFmtId="165" fontId="10" fillId="0" borderId="0" xfId="30" applyNumberFormat="1" applyFont="1" applyAlignment="1"/>
    <xf numFmtId="0" fontId="10" fillId="0" borderId="0" xfId="0" applyFont="1" applyAlignment="1">
      <alignment horizontal="left"/>
    </xf>
    <xf numFmtId="10" fontId="10" fillId="0" borderId="0" xfId="49" applyNumberFormat="1" applyFont="1" applyAlignment="1"/>
    <xf numFmtId="5" fontId="10" fillId="0" borderId="0" xfId="34" applyNumberFormat="1" applyFont="1" applyAlignment="1">
      <alignment horizontal="right"/>
    </xf>
    <xf numFmtId="10" fontId="10" fillId="0" borderId="14" xfId="0" applyNumberFormat="1" applyFont="1" applyBorder="1" applyAlignment="1">
      <alignment horizontal="right"/>
    </xf>
    <xf numFmtId="166" fontId="10" fillId="0" borderId="0" xfId="0" applyNumberFormat="1" applyFont="1" applyAlignment="1">
      <alignment horizontal="right"/>
    </xf>
    <xf numFmtId="169" fontId="10" fillId="0" borderId="14" xfId="0" applyNumberFormat="1" applyFont="1" applyBorder="1" applyAlignment="1">
      <alignment horizontal="right"/>
    </xf>
    <xf numFmtId="0" fontId="10" fillId="0" borderId="0" xfId="0" quotePrefix="1" applyFont="1" applyAlignment="1"/>
    <xf numFmtId="165" fontId="10" fillId="0" borderId="14" xfId="0" applyNumberFormat="1" applyFont="1" applyBorder="1" applyAlignment="1">
      <alignment horizontal="right"/>
    </xf>
    <xf numFmtId="6" fontId="10" fillId="0" borderId="14" xfId="0" applyNumberFormat="1" applyFont="1" applyBorder="1" applyAlignment="1">
      <alignment horizontal="right"/>
    </xf>
    <xf numFmtId="6" fontId="10" fillId="0" borderId="0" xfId="0" applyNumberFormat="1" applyFont="1" applyAlignment="1">
      <alignment horizontal="right"/>
    </xf>
    <xf numFmtId="5" fontId="29" fillId="41" borderId="0" xfId="0" applyNumberFormat="1" applyFont="1" applyFill="1" applyBorder="1" applyAlignment="1" applyProtection="1"/>
    <xf numFmtId="5" fontId="0" fillId="0" borderId="0" xfId="0" applyNumberFormat="1" applyBorder="1"/>
    <xf numFmtId="5" fontId="10" fillId="41" borderId="11" xfId="0" applyNumberFormat="1" applyFont="1" applyFill="1" applyBorder="1" applyProtection="1"/>
    <xf numFmtId="5" fontId="10" fillId="41" borderId="72" xfId="0" applyNumberFormat="1" applyFont="1" applyFill="1" applyBorder="1" applyProtection="1"/>
    <xf numFmtId="0" fontId="0" fillId="41" borderId="0" xfId="0" applyFill="1"/>
    <xf numFmtId="0" fontId="66" fillId="45" borderId="14" xfId="0" applyFont="1" applyFill="1" applyBorder="1" applyAlignment="1" applyProtection="1">
      <alignment vertical="center" wrapText="1"/>
    </xf>
    <xf numFmtId="0" fontId="36" fillId="0" borderId="14" xfId="0" quotePrefix="1" applyFont="1" applyBorder="1" applyAlignment="1">
      <alignment horizontal="center" wrapText="1"/>
    </xf>
    <xf numFmtId="5" fontId="73" fillId="41" borderId="13" xfId="0" applyNumberFormat="1" applyFont="1" applyFill="1" applyBorder="1" applyAlignment="1">
      <alignment horizontal="right" wrapText="1"/>
    </xf>
    <xf numFmtId="0" fontId="74" fillId="41" borderId="13" xfId="0" applyFont="1" applyFill="1" applyBorder="1" applyAlignment="1">
      <alignment horizontal="right" wrapText="1"/>
    </xf>
    <xf numFmtId="6" fontId="48" fillId="41" borderId="13" xfId="0" applyNumberFormat="1" applyFont="1" applyFill="1" applyBorder="1" applyAlignment="1">
      <alignment horizontal="right"/>
    </xf>
    <xf numFmtId="6" fontId="75" fillId="39" borderId="26" xfId="0" applyNumberFormat="1" applyFont="1" applyFill="1" applyBorder="1" applyAlignment="1">
      <alignment horizontal="center"/>
    </xf>
    <xf numFmtId="6" fontId="75" fillId="41" borderId="26" xfId="0" applyNumberFormat="1" applyFont="1" applyFill="1" applyBorder="1" applyAlignment="1">
      <alignment horizontal="center"/>
    </xf>
    <xf numFmtId="0" fontId="48" fillId="47" borderId="35" xfId="0" applyFont="1" applyFill="1" applyBorder="1" applyAlignment="1">
      <alignment horizontal="right" wrapText="1"/>
    </xf>
    <xf numFmtId="3" fontId="73" fillId="47" borderId="14" xfId="0" applyNumberFormat="1" applyFont="1" applyFill="1" applyBorder="1" applyAlignment="1">
      <alignment horizontal="right"/>
    </xf>
    <xf numFmtId="38" fontId="60" fillId="47" borderId="14" xfId="0" applyNumberFormat="1" applyFont="1" applyFill="1" applyBorder="1" applyAlignment="1">
      <alignment horizontal="right"/>
    </xf>
    <xf numFmtId="6" fontId="60" fillId="47" borderId="14" xfId="0" applyNumberFormat="1" applyFont="1" applyFill="1" applyBorder="1" applyAlignment="1">
      <alignment horizontal="right"/>
    </xf>
    <xf numFmtId="0" fontId="48" fillId="0" borderId="35" xfId="0" applyFont="1" applyFill="1" applyBorder="1" applyAlignment="1">
      <alignment horizontal="left" wrapText="1"/>
    </xf>
    <xf numFmtId="5" fontId="15" fillId="0" borderId="132" xfId="0" applyNumberFormat="1" applyFont="1" applyFill="1" applyBorder="1" applyProtection="1"/>
    <xf numFmtId="10" fontId="15" fillId="0" borderId="133" xfId="0" applyNumberFormat="1" applyFont="1" applyFill="1" applyBorder="1" applyProtection="1"/>
    <xf numFmtId="5" fontId="23" fillId="27" borderId="89" xfId="0" applyNumberFormat="1" applyFont="1" applyFill="1" applyBorder="1" applyProtection="1"/>
    <xf numFmtId="10" fontId="40" fillId="27" borderId="134" xfId="0" applyNumberFormat="1" applyFont="1" applyFill="1" applyBorder="1" applyProtection="1"/>
    <xf numFmtId="0" fontId="23" fillId="27" borderId="88" xfId="0" applyFont="1" applyFill="1" applyBorder="1" applyAlignment="1">
      <alignment horizontal="center"/>
    </xf>
    <xf numFmtId="0" fontId="52" fillId="48" borderId="0" xfId="0" applyFont="1" applyFill="1"/>
    <xf numFmtId="0" fontId="52" fillId="48" borderId="0" xfId="0" applyFont="1" applyFill="1" applyAlignment="1">
      <alignment horizontal="center"/>
    </xf>
    <xf numFmtId="0" fontId="0" fillId="0" borderId="0" xfId="0" applyBorder="1" applyAlignment="1">
      <alignment horizontal="left" wrapText="1"/>
    </xf>
    <xf numFmtId="5" fontId="0" fillId="0" borderId="0" xfId="0" applyNumberFormat="1" applyAlignment="1">
      <alignment horizontal="center"/>
    </xf>
    <xf numFmtId="1" fontId="10" fillId="26" borderId="60" xfId="0" applyNumberFormat="1" applyFont="1" applyFill="1" applyBorder="1" applyAlignment="1" applyProtection="1">
      <alignment horizontal="center" vertical="center"/>
    </xf>
    <xf numFmtId="1" fontId="12" fillId="26" borderId="68" xfId="0" applyNumberFormat="1" applyFont="1" applyFill="1" applyBorder="1" applyAlignment="1" applyProtection="1">
      <alignment horizontal="center" vertical="center"/>
    </xf>
    <xf numFmtId="1" fontId="21" fillId="26" borderId="72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6" fontId="10" fillId="43" borderId="11" xfId="0" applyNumberFormat="1" applyFont="1" applyFill="1" applyBorder="1" applyProtection="1"/>
    <xf numFmtId="6" fontId="10" fillId="43" borderId="72" xfId="0" applyNumberFormat="1" applyFont="1" applyFill="1" applyBorder="1" applyProtection="1"/>
    <xf numFmtId="0" fontId="0" fillId="0" borderId="0" xfId="0" applyBorder="1" applyAlignment="1">
      <alignment horizontal="center" wrapText="1"/>
    </xf>
    <xf numFmtId="6" fontId="10" fillId="43" borderId="74" xfId="0" applyNumberFormat="1" applyFont="1" applyFill="1" applyBorder="1" applyProtection="1"/>
    <xf numFmtId="6" fontId="27" fillId="0" borderId="85" xfId="31" applyNumberFormat="1" applyFont="1" applyFill="1" applyBorder="1" applyProtection="1"/>
    <xf numFmtId="6" fontId="27" fillId="43" borderId="85" xfId="31" applyNumberFormat="1" applyFont="1" applyFill="1" applyBorder="1" applyProtection="1"/>
    <xf numFmtId="10" fontId="51" fillId="0" borderId="0" xfId="48" applyNumberFormat="1" applyFont="1" applyFill="1" applyBorder="1"/>
    <xf numFmtId="6" fontId="27" fillId="0" borderId="79" xfId="32" applyNumberFormat="1" applyFont="1" applyBorder="1" applyAlignment="1">
      <alignment horizontal="right"/>
    </xf>
    <xf numFmtId="171" fontId="0" fillId="0" borderId="0" xfId="0" applyNumberFormat="1"/>
    <xf numFmtId="10" fontId="10" fillId="39" borderId="13" xfId="0" applyNumberFormat="1" applyFont="1" applyFill="1" applyBorder="1"/>
    <xf numFmtId="166" fontId="10" fillId="39" borderId="13" xfId="0" applyNumberFormat="1" applyFont="1" applyFill="1" applyBorder="1"/>
    <xf numFmtId="10" fontId="10" fillId="41" borderId="13" xfId="48" applyNumberFormat="1" applyFont="1" applyFill="1" applyBorder="1"/>
    <xf numFmtId="6" fontId="10" fillId="41" borderId="13" xfId="32" applyNumberFormat="1" applyFont="1" applyFill="1" applyBorder="1"/>
    <xf numFmtId="10" fontId="10" fillId="41" borderId="34" xfId="48" applyNumberFormat="1" applyFont="1" applyFill="1" applyBorder="1"/>
    <xf numFmtId="43" fontId="27" fillId="0" borderId="67" xfId="28" applyNumberFormat="1" applyFont="1" applyBorder="1" applyAlignment="1">
      <alignment horizontal="right"/>
    </xf>
    <xf numFmtId="0" fontId="100" fillId="41" borderId="0" xfId="0" applyFont="1" applyFill="1" applyBorder="1" applyAlignment="1">
      <alignment horizontal="left" wrapText="1"/>
    </xf>
    <xf numFmtId="6" fontId="100" fillId="41" borderId="0" xfId="0" applyNumberFormat="1" applyFont="1" applyFill="1" applyBorder="1" applyAlignment="1">
      <alignment horizontal="center" wrapText="1"/>
    </xf>
    <xf numFmtId="0" fontId="98" fillId="41" borderId="0" xfId="0" applyFont="1" applyFill="1" applyBorder="1"/>
    <xf numFmtId="0" fontId="99" fillId="0" borderId="0" xfId="0" applyFont="1" applyBorder="1" applyAlignment="1">
      <alignment wrapText="1"/>
    </xf>
    <xf numFmtId="0" fontId="107" fillId="0" borderId="0" xfId="0" applyFont="1" applyBorder="1" applyAlignment="1">
      <alignment horizontal="left" wrapText="1"/>
    </xf>
    <xf numFmtId="0" fontId="76" fillId="0" borderId="0" xfId="0" applyFont="1" applyAlignment="1">
      <alignment horizontal="right" vertical="top"/>
    </xf>
    <xf numFmtId="166" fontId="10" fillId="41" borderId="80" xfId="0" applyNumberFormat="1" applyFont="1" applyFill="1" applyBorder="1"/>
    <xf numFmtId="10" fontId="27" fillId="54" borderId="26" xfId="0" applyNumberFormat="1" applyFont="1" applyFill="1" applyBorder="1" applyAlignment="1">
      <alignment horizontal="center" vertical="center" wrapText="1"/>
    </xf>
    <xf numFmtId="0" fontId="48" fillId="41" borderId="0" xfId="0" applyFont="1" applyFill="1" applyBorder="1" applyAlignment="1">
      <alignment horizontal="center" vertical="center"/>
    </xf>
    <xf numFmtId="6" fontId="73" fillId="41" borderId="13" xfId="0" applyNumberFormat="1" applyFont="1" applyFill="1" applyBorder="1" applyAlignment="1">
      <alignment horizontal="right"/>
    </xf>
    <xf numFmtId="6" fontId="60" fillId="41" borderId="13" xfId="0" applyNumberFormat="1" applyFont="1" applyFill="1" applyBorder="1" applyAlignment="1">
      <alignment horizontal="right"/>
    </xf>
    <xf numFmtId="6" fontId="48" fillId="41" borderId="26" xfId="0" applyNumberFormat="1" applyFont="1" applyFill="1" applyBorder="1" applyAlignment="1">
      <alignment horizontal="right"/>
    </xf>
    <xf numFmtId="6" fontId="60" fillId="27" borderId="13" xfId="0" applyNumberFormat="1" applyFont="1" applyFill="1" applyBorder="1" applyAlignment="1"/>
    <xf numFmtId="6" fontId="60" fillId="27" borderId="13" xfId="0" applyNumberFormat="1" applyFont="1" applyFill="1" applyBorder="1" applyAlignment="1">
      <alignment horizontal="center" wrapText="1"/>
    </xf>
    <xf numFmtId="6" fontId="60" fillId="41" borderId="14" xfId="0" applyNumberFormat="1" applyFont="1" applyFill="1" applyBorder="1" applyAlignment="1">
      <alignment horizontal="right"/>
    </xf>
    <xf numFmtId="0" fontId="73" fillId="55" borderId="13" xfId="0" applyFont="1" applyFill="1" applyBorder="1" applyAlignment="1">
      <alignment horizontal="center" wrapText="1"/>
    </xf>
    <xf numFmtId="6" fontId="60" fillId="55" borderId="13" xfId="0" applyNumberFormat="1" applyFont="1" applyFill="1" applyBorder="1" applyAlignment="1">
      <alignment horizontal="right"/>
    </xf>
    <xf numFmtId="6" fontId="48" fillId="55" borderId="13" xfId="0" applyNumberFormat="1" applyFont="1" applyFill="1" applyBorder="1" applyAlignment="1">
      <alignment horizontal="right"/>
    </xf>
    <xf numFmtId="0" fontId="0" fillId="55" borderId="0" xfId="0" applyFill="1"/>
    <xf numFmtId="6" fontId="48" fillId="55" borderId="26" xfId="0" applyNumberFormat="1" applyFont="1" applyFill="1" applyBorder="1" applyAlignment="1">
      <alignment horizontal="right"/>
    </xf>
    <xf numFmtId="0" fontId="98" fillId="0" borderId="26" xfId="0" applyFont="1" applyFill="1" applyBorder="1" applyAlignment="1">
      <alignment horizontal="left" wrapText="1"/>
    </xf>
    <xf numFmtId="0" fontId="102" fillId="28" borderId="36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wrapText="1"/>
    </xf>
    <xf numFmtId="3" fontId="10" fillId="41" borderId="13" xfId="0" applyNumberFormat="1" applyFont="1" applyFill="1" applyBorder="1"/>
    <xf numFmtId="0" fontId="18" fillId="0" borderId="0" xfId="0" applyFont="1"/>
    <xf numFmtId="5" fontId="18" fillId="0" borderId="0" xfId="0" applyNumberFormat="1" applyFont="1"/>
    <xf numFmtId="10" fontId="18" fillId="0" borderId="0" xfId="0" applyNumberFormat="1" applyFont="1"/>
    <xf numFmtId="5" fontId="95" fillId="0" borderId="0" xfId="0" applyNumberFormat="1" applyFont="1" applyFill="1" applyBorder="1" applyProtection="1"/>
    <xf numFmtId="6" fontId="95" fillId="0" borderId="0" xfId="0" applyNumberFormat="1" applyFont="1" applyFill="1" applyBorder="1" applyProtection="1"/>
    <xf numFmtId="165" fontId="95" fillId="0" borderId="0" xfId="28" applyNumberFormat="1" applyFont="1" applyFill="1" applyBorder="1" applyProtection="1"/>
    <xf numFmtId="165" fontId="27" fillId="0" borderId="0" xfId="28" applyNumberFormat="1" applyFont="1" applyFill="1" applyBorder="1" applyProtection="1"/>
    <xf numFmtId="6" fontId="27" fillId="0" borderId="0" xfId="28" applyNumberFormat="1" applyFont="1" applyFill="1" applyBorder="1" applyProtection="1"/>
    <xf numFmtId="0" fontId="0" fillId="41" borderId="0" xfId="0" applyFill="1" applyBorder="1"/>
    <xf numFmtId="0" fontId="13" fillId="0" borderId="88" xfId="0" applyFont="1" applyFill="1" applyBorder="1" applyAlignment="1">
      <alignment horizontal="center" vertical="top"/>
    </xf>
    <xf numFmtId="0" fontId="48" fillId="49" borderId="26" xfId="0" applyFont="1" applyFill="1" applyBorder="1" applyAlignment="1">
      <alignment horizontal="right" wrapText="1"/>
    </xf>
    <xf numFmtId="3" fontId="48" fillId="49" borderId="13" xfId="0" applyNumberFormat="1" applyFont="1" applyFill="1" applyBorder="1" applyAlignment="1">
      <alignment horizontal="right"/>
    </xf>
    <xf numFmtId="6" fontId="48" fillId="49" borderId="13" xfId="0" applyNumberFormat="1" applyFont="1" applyFill="1" applyBorder="1" applyAlignment="1">
      <alignment horizontal="right"/>
    </xf>
    <xf numFmtId="38" fontId="48" fillId="49" borderId="13" xfId="0" applyNumberFormat="1" applyFont="1" applyFill="1" applyBorder="1" applyAlignment="1">
      <alignment horizontal="right"/>
    </xf>
    <xf numFmtId="0" fontId="48" fillId="49" borderId="35" xfId="0" applyFont="1" applyFill="1" applyBorder="1" applyAlignment="1">
      <alignment horizontal="right" wrapText="1"/>
    </xf>
    <xf numFmtId="3" fontId="48" fillId="49" borderId="14" xfId="0" applyNumberFormat="1" applyFont="1" applyFill="1" applyBorder="1" applyAlignment="1">
      <alignment horizontal="right"/>
    </xf>
    <xf numFmtId="6" fontId="48" fillId="49" borderId="14" xfId="0" applyNumberFormat="1" applyFont="1" applyFill="1" applyBorder="1" applyAlignment="1">
      <alignment horizontal="right"/>
    </xf>
    <xf numFmtId="0" fontId="60" fillId="0" borderId="13" xfId="0" applyFont="1" applyFill="1" applyBorder="1" applyAlignment="1">
      <alignment horizontal="center" wrapText="1"/>
    </xf>
    <xf numFmtId="6" fontId="8" fillId="0" borderId="0" xfId="0" applyNumberFormat="1" applyFont="1" applyBorder="1" applyAlignment="1">
      <alignment horizontal="right"/>
    </xf>
    <xf numFmtId="0" fontId="60" fillId="54" borderId="26" xfId="0" applyFont="1" applyFill="1" applyBorder="1" applyAlignment="1">
      <alignment horizontal="left" wrapText="1"/>
    </xf>
    <xf numFmtId="0" fontId="60" fillId="54" borderId="35" xfId="0" applyFont="1" applyFill="1" applyBorder="1" applyAlignment="1">
      <alignment horizontal="left" wrapText="1"/>
    </xf>
    <xf numFmtId="0" fontId="8" fillId="0" borderId="0" xfId="0" applyFont="1"/>
    <xf numFmtId="3" fontId="12" fillId="0" borderId="11" xfId="0" applyNumberFormat="1" applyFont="1" applyFill="1" applyBorder="1"/>
    <xf numFmtId="3" fontId="12" fillId="0" borderId="13" xfId="0" applyNumberFormat="1" applyFont="1" applyFill="1" applyBorder="1"/>
    <xf numFmtId="0" fontId="100" fillId="41" borderId="10" xfId="0" applyFont="1" applyFill="1" applyBorder="1" applyAlignment="1">
      <alignment horizontal="right" wrapText="1"/>
    </xf>
    <xf numFmtId="6" fontId="100" fillId="0" borderId="10" xfId="0" applyNumberFormat="1" applyFont="1" applyBorder="1" applyAlignment="1">
      <alignment horizontal="center" wrapText="1"/>
    </xf>
    <xf numFmtId="6" fontId="100" fillId="0" borderId="10" xfId="0" applyNumberFormat="1" applyFont="1" applyFill="1" applyBorder="1" applyAlignment="1">
      <alignment horizontal="center" wrapText="1"/>
    </xf>
    <xf numFmtId="6" fontId="100" fillId="28" borderId="10" xfId="0" applyNumberFormat="1" applyFont="1" applyFill="1" applyBorder="1" applyAlignment="1">
      <alignment horizontal="center" wrapText="1"/>
    </xf>
    <xf numFmtId="38" fontId="100" fillId="28" borderId="51" xfId="0" applyNumberFormat="1" applyFont="1" applyFill="1" applyBorder="1" applyAlignment="1">
      <alignment horizontal="center"/>
    </xf>
    <xf numFmtId="6" fontId="100" fillId="28" borderId="51" xfId="0" applyNumberFormat="1" applyFont="1" applyFill="1" applyBorder="1" applyAlignment="1">
      <alignment horizontal="center"/>
    </xf>
    <xf numFmtId="0" fontId="98" fillId="0" borderId="51" xfId="0" applyFont="1" applyBorder="1"/>
    <xf numFmtId="6" fontId="98" fillId="0" borderId="51" xfId="0" applyNumberFormat="1" applyFont="1" applyBorder="1"/>
    <xf numFmtId="0" fontId="75" fillId="0" borderId="51" xfId="0" applyFont="1" applyBorder="1"/>
    <xf numFmtId="0" fontId="100" fillId="41" borderId="13" xfId="0" applyFont="1" applyFill="1" applyBorder="1" applyAlignment="1">
      <alignment horizontal="right" wrapText="1"/>
    </xf>
    <xf numFmtId="6" fontId="100" fillId="0" borderId="13" xfId="0" applyNumberFormat="1" applyFont="1" applyFill="1" applyBorder="1" applyAlignment="1">
      <alignment horizontal="center"/>
    </xf>
    <xf numFmtId="6" fontId="100" fillId="41" borderId="13" xfId="0" applyNumberFormat="1" applyFont="1" applyFill="1" applyBorder="1" applyAlignment="1">
      <alignment horizontal="center"/>
    </xf>
    <xf numFmtId="6" fontId="100" fillId="39" borderId="13" xfId="0" applyNumberFormat="1" applyFont="1" applyFill="1" applyBorder="1" applyAlignment="1">
      <alignment horizontal="center"/>
    </xf>
    <xf numFmtId="6" fontId="100" fillId="0" borderId="13" xfId="0" applyNumberFormat="1" applyFont="1" applyBorder="1" applyAlignment="1">
      <alignment horizontal="center" wrapText="1"/>
    </xf>
    <xf numFmtId="6" fontId="100" fillId="0" borderId="13" xfId="0" applyNumberFormat="1" applyFont="1" applyFill="1" applyBorder="1" applyAlignment="1">
      <alignment horizontal="center" wrapText="1"/>
    </xf>
    <xf numFmtId="6" fontId="100" fillId="28" borderId="13" xfId="0" applyNumberFormat="1" applyFont="1" applyFill="1" applyBorder="1" applyAlignment="1">
      <alignment horizontal="center" wrapText="1"/>
    </xf>
    <xf numFmtId="0" fontId="100" fillId="28" borderId="36" xfId="0" quotePrefix="1" applyFont="1" applyFill="1" applyBorder="1" applyAlignment="1">
      <alignment horizontal="right" wrapText="1"/>
    </xf>
    <xf numFmtId="0" fontId="75" fillId="0" borderId="26" xfId="0" applyFont="1" applyBorder="1"/>
    <xf numFmtId="38" fontId="75" fillId="0" borderId="146" xfId="0" applyNumberFormat="1" applyFont="1" applyFill="1" applyBorder="1" applyAlignment="1">
      <alignment horizontal="center"/>
    </xf>
    <xf numFmtId="6" fontId="75" fillId="0" borderId="146" xfId="0" applyNumberFormat="1" applyFont="1" applyBorder="1" applyAlignment="1">
      <alignment horizontal="center"/>
    </xf>
    <xf numFmtId="6" fontId="75" fillId="0" borderId="146" xfId="0" applyNumberFormat="1" applyFont="1" applyFill="1" applyBorder="1" applyAlignment="1">
      <alignment horizontal="center"/>
    </xf>
    <xf numFmtId="6" fontId="75" fillId="41" borderId="146" xfId="0" applyNumberFormat="1" applyFont="1" applyFill="1" applyBorder="1" applyAlignment="1">
      <alignment horizontal="center"/>
    </xf>
    <xf numFmtId="6" fontId="75" fillId="39" borderId="146" xfId="0" applyNumberFormat="1" applyFont="1" applyFill="1" applyBorder="1" applyAlignment="1">
      <alignment horizontal="center"/>
    </xf>
    <xf numFmtId="6" fontId="75" fillId="41" borderId="146" xfId="0" applyNumberFormat="1" applyFont="1" applyFill="1" applyBorder="1" applyAlignment="1">
      <alignment horizontal="center" wrapText="1"/>
    </xf>
    <xf numFmtId="6" fontId="75" fillId="0" borderId="146" xfId="0" applyNumberFormat="1" applyFont="1" applyFill="1" applyBorder="1" applyAlignment="1">
      <alignment horizontal="center" wrapText="1"/>
    </xf>
    <xf numFmtId="6" fontId="75" fillId="28" borderId="146" xfId="0" applyNumberFormat="1" applyFont="1" applyFill="1" applyBorder="1" applyAlignment="1">
      <alignment horizontal="center" wrapText="1"/>
    </xf>
    <xf numFmtId="38" fontId="75" fillId="0" borderId="145" xfId="0" applyNumberFormat="1" applyFont="1" applyFill="1" applyBorder="1" applyAlignment="1">
      <alignment horizontal="center"/>
    </xf>
    <xf numFmtId="6" fontId="75" fillId="0" borderId="145" xfId="0" applyNumberFormat="1" applyFont="1" applyBorder="1" applyAlignment="1">
      <alignment horizontal="center"/>
    </xf>
    <xf numFmtId="6" fontId="75" fillId="0" borderId="145" xfId="0" applyNumberFormat="1" applyFont="1" applyFill="1" applyBorder="1" applyAlignment="1">
      <alignment horizontal="center"/>
    </xf>
    <xf numFmtId="6" fontId="75" fillId="41" borderId="145" xfId="0" applyNumberFormat="1" applyFont="1" applyFill="1" applyBorder="1" applyAlignment="1">
      <alignment horizontal="center"/>
    </xf>
    <xf numFmtId="6" fontId="75" fillId="39" borderId="145" xfId="0" applyNumberFormat="1" applyFont="1" applyFill="1" applyBorder="1" applyAlignment="1">
      <alignment horizontal="center"/>
    </xf>
    <xf numFmtId="6" fontId="75" fillId="41" borderId="145" xfId="0" applyNumberFormat="1" applyFont="1" applyFill="1" applyBorder="1" applyAlignment="1">
      <alignment horizontal="center" wrapText="1"/>
    </xf>
    <xf numFmtId="6" fontId="75" fillId="0" borderId="145" xfId="0" applyNumberFormat="1" applyFont="1" applyFill="1" applyBorder="1" applyAlignment="1">
      <alignment horizontal="center" wrapText="1"/>
    </xf>
    <xf numFmtId="6" fontId="75" fillId="28" borderId="145" xfId="0" applyNumberFormat="1" applyFont="1" applyFill="1" applyBorder="1" applyAlignment="1">
      <alignment horizontal="center" wrapText="1"/>
    </xf>
    <xf numFmtId="38" fontId="75" fillId="0" borderId="147" xfId="0" applyNumberFormat="1" applyFont="1" applyFill="1" applyBorder="1" applyAlignment="1">
      <alignment horizontal="center"/>
    </xf>
    <xf numFmtId="6" fontId="75" fillId="0" borderId="147" xfId="0" applyNumberFormat="1" applyFont="1" applyBorder="1" applyAlignment="1">
      <alignment horizontal="center"/>
    </xf>
    <xf numFmtId="6" fontId="75" fillId="0" borderId="147" xfId="0" applyNumberFormat="1" applyFont="1" applyFill="1" applyBorder="1" applyAlignment="1">
      <alignment horizontal="center"/>
    </xf>
    <xf numFmtId="6" fontId="75" fillId="41" borderId="147" xfId="0" applyNumberFormat="1" applyFont="1" applyFill="1" applyBorder="1" applyAlignment="1">
      <alignment horizontal="center"/>
    </xf>
    <xf numFmtId="6" fontId="75" fillId="39" borderId="147" xfId="0" applyNumberFormat="1" applyFont="1" applyFill="1" applyBorder="1" applyAlignment="1">
      <alignment horizontal="center"/>
    </xf>
    <xf numFmtId="6" fontId="75" fillId="41" borderId="147" xfId="0" applyNumberFormat="1" applyFont="1" applyFill="1" applyBorder="1" applyAlignment="1">
      <alignment horizontal="center" wrapText="1"/>
    </xf>
    <xf numFmtId="6" fontId="75" fillId="0" borderId="147" xfId="0" applyNumberFormat="1" applyFont="1" applyFill="1" applyBorder="1" applyAlignment="1">
      <alignment horizontal="center" wrapText="1"/>
    </xf>
    <xf numFmtId="6" fontId="75" fillId="28" borderId="147" xfId="0" applyNumberFormat="1" applyFont="1" applyFill="1" applyBorder="1" applyAlignment="1">
      <alignment horizontal="center" wrapText="1"/>
    </xf>
    <xf numFmtId="0" fontId="100" fillId="0" borderId="42" xfId="0" applyFont="1" applyBorder="1"/>
    <xf numFmtId="38" fontId="100" fillId="0" borderId="10" xfId="0" applyNumberFormat="1" applyFont="1" applyFill="1" applyBorder="1" applyAlignment="1">
      <alignment horizontal="center"/>
    </xf>
    <xf numFmtId="6" fontId="100" fillId="0" borderId="10" xfId="0" applyNumberFormat="1" applyFont="1" applyBorder="1" applyAlignment="1">
      <alignment horizontal="center"/>
    </xf>
    <xf numFmtId="6" fontId="100" fillId="0" borderId="10" xfId="0" applyNumberFormat="1" applyFont="1" applyFill="1" applyBorder="1" applyAlignment="1">
      <alignment horizontal="center"/>
    </xf>
    <xf numFmtId="6" fontId="100" fillId="41" borderId="10" xfId="0" applyNumberFormat="1" applyFont="1" applyFill="1" applyBorder="1" applyAlignment="1">
      <alignment horizontal="center"/>
    </xf>
    <xf numFmtId="6" fontId="100" fillId="39" borderId="10" xfId="0" applyNumberFormat="1" applyFont="1" applyFill="1" applyBorder="1" applyAlignment="1">
      <alignment horizontal="center"/>
    </xf>
    <xf numFmtId="0" fontId="100" fillId="0" borderId="0" xfId="0" applyFont="1" applyBorder="1"/>
    <xf numFmtId="0" fontId="100" fillId="0" borderId="26" xfId="0" applyFont="1" applyBorder="1" applyAlignment="1">
      <alignment horizontal="center"/>
    </xf>
    <xf numFmtId="38" fontId="100" fillId="0" borderId="13" xfId="0" applyNumberFormat="1" applyFont="1" applyFill="1" applyBorder="1" applyAlignment="1">
      <alignment horizontal="center"/>
    </xf>
    <xf numFmtId="6" fontId="100" fillId="0" borderId="13" xfId="0" applyNumberFormat="1" applyFont="1" applyBorder="1" applyAlignment="1">
      <alignment horizontal="center"/>
    </xf>
    <xf numFmtId="0" fontId="100" fillId="0" borderId="0" xfId="0" applyFont="1" applyBorder="1" applyAlignment="1">
      <alignment horizontal="center"/>
    </xf>
    <xf numFmtId="0" fontId="75" fillId="41" borderId="26" xfId="0" applyFont="1" applyFill="1" applyBorder="1" applyAlignment="1">
      <alignment horizontal="right" wrapText="1"/>
    </xf>
    <xf numFmtId="6" fontId="73" fillId="0" borderId="13" xfId="0" applyNumberFormat="1" applyFont="1" applyFill="1" applyBorder="1" applyAlignment="1">
      <alignment horizontal="center" wrapText="1"/>
    </xf>
    <xf numFmtId="6" fontId="75" fillId="59" borderId="146" xfId="0" applyNumberFormat="1" applyFont="1" applyFill="1" applyBorder="1" applyAlignment="1">
      <alignment horizontal="center" wrapText="1"/>
    </xf>
    <xf numFmtId="6" fontId="75" fillId="59" borderId="145" xfId="0" applyNumberFormat="1" applyFont="1" applyFill="1" applyBorder="1" applyAlignment="1">
      <alignment horizontal="center" wrapText="1"/>
    </xf>
    <xf numFmtId="6" fontId="75" fillId="59" borderId="147" xfId="0" applyNumberFormat="1" applyFont="1" applyFill="1" applyBorder="1" applyAlignment="1">
      <alignment horizontal="center" wrapText="1"/>
    </xf>
    <xf numFmtId="6" fontId="100" fillId="59" borderId="10" xfId="0" applyNumberFormat="1" applyFont="1" applyFill="1" applyBorder="1" applyAlignment="1">
      <alignment horizontal="center" wrapText="1"/>
    </xf>
    <xf numFmtId="6" fontId="75" fillId="59" borderId="26" xfId="0" applyNumberFormat="1" applyFont="1" applyFill="1" applyBorder="1" applyAlignment="1">
      <alignment horizontal="center" wrapText="1"/>
    </xf>
    <xf numFmtId="6" fontId="100" fillId="59" borderId="13" xfId="0" applyNumberFormat="1" applyFont="1" applyFill="1" applyBorder="1" applyAlignment="1">
      <alignment horizontal="center" wrapText="1"/>
    </xf>
    <xf numFmtId="0" fontId="98" fillId="41" borderId="51" xfId="0" applyFont="1" applyFill="1" applyBorder="1"/>
    <xf numFmtId="0" fontId="8" fillId="0" borderId="0" xfId="0" quotePrefix="1" applyFont="1"/>
    <xf numFmtId="0" fontId="20" fillId="0" borderId="53" xfId="0" applyFont="1" applyFill="1" applyBorder="1" applyAlignment="1">
      <alignment horizontal="center"/>
    </xf>
    <xf numFmtId="0" fontId="70" fillId="0" borderId="0" xfId="0" applyFont="1"/>
    <xf numFmtId="5" fontId="15" fillId="0" borderId="152" xfId="0" applyNumberFormat="1" applyFont="1" applyFill="1" applyBorder="1" applyAlignment="1" applyProtection="1">
      <alignment vertical="top"/>
    </xf>
    <xf numFmtId="5" fontId="15" fillId="0" borderId="153" xfId="0" applyNumberFormat="1" applyFont="1" applyFill="1" applyBorder="1" applyAlignment="1" applyProtection="1">
      <alignment vertical="top"/>
    </xf>
    <xf numFmtId="165" fontId="15" fillId="0" borderId="155" xfId="28" applyNumberFormat="1" applyFont="1" applyFill="1" applyBorder="1" applyAlignment="1" applyProtection="1"/>
    <xf numFmtId="165" fontId="15" fillId="0" borderId="20" xfId="28" applyNumberFormat="1" applyFont="1" applyFill="1" applyBorder="1" applyAlignment="1" applyProtection="1"/>
    <xf numFmtId="0" fontId="13" fillId="0" borderId="159" xfId="0" applyFont="1" applyFill="1" applyBorder="1" applyAlignment="1">
      <alignment horizontal="left"/>
    </xf>
    <xf numFmtId="165" fontId="15" fillId="0" borderId="160" xfId="28" applyNumberFormat="1" applyFont="1" applyFill="1" applyBorder="1" applyAlignment="1" applyProtection="1"/>
    <xf numFmtId="165" fontId="15" fillId="0" borderId="159" xfId="28" applyNumberFormat="1" applyFont="1" applyFill="1" applyBorder="1" applyAlignment="1" applyProtection="1"/>
    <xf numFmtId="165" fontId="15" fillId="0" borderId="32" xfId="28" applyNumberFormat="1" applyFont="1" applyFill="1" applyBorder="1" applyProtection="1"/>
    <xf numFmtId="43" fontId="15" fillId="0" borderId="155" xfId="28" applyFont="1" applyFill="1" applyBorder="1" applyAlignment="1" applyProtection="1">
      <alignment horizontal="right"/>
    </xf>
    <xf numFmtId="10" fontId="15" fillId="0" borderId="155" xfId="48" applyNumberFormat="1" applyFont="1" applyFill="1" applyBorder="1" applyAlignment="1" applyProtection="1">
      <alignment horizontal="right"/>
    </xf>
    <xf numFmtId="5" fontId="15" fillId="0" borderId="174" xfId="0" applyNumberFormat="1" applyFont="1" applyFill="1" applyBorder="1" applyProtection="1"/>
    <xf numFmtId="5" fontId="15" fillId="0" borderId="175" xfId="0" applyNumberFormat="1" applyFont="1" applyFill="1" applyBorder="1" applyProtection="1"/>
    <xf numFmtId="5" fontId="23" fillId="0" borderId="157" xfId="0" applyNumberFormat="1" applyFont="1" applyFill="1" applyBorder="1" applyAlignment="1" applyProtection="1"/>
    <xf numFmtId="5" fontId="23" fillId="0" borderId="158" xfId="0" applyNumberFormat="1" applyFont="1" applyFill="1" applyBorder="1" applyAlignment="1" applyProtection="1"/>
    <xf numFmtId="5" fontId="23" fillId="27" borderId="171" xfId="0" applyNumberFormat="1" applyFont="1" applyFill="1" applyBorder="1" applyAlignment="1" applyProtection="1"/>
    <xf numFmtId="5" fontId="23" fillId="27" borderId="29" xfId="0" applyNumberFormat="1" applyFont="1" applyFill="1" applyBorder="1" applyAlignment="1" applyProtection="1"/>
    <xf numFmtId="5" fontId="15" fillId="0" borderId="172" xfId="0" applyNumberFormat="1" applyFont="1" applyFill="1" applyBorder="1" applyAlignment="1" applyProtection="1"/>
    <xf numFmtId="5" fontId="15" fillId="0" borderId="173" xfId="0" applyNumberFormat="1" applyFont="1" applyFill="1" applyBorder="1" applyAlignment="1" applyProtection="1"/>
    <xf numFmtId="5" fontId="15" fillId="0" borderId="176" xfId="0" applyNumberFormat="1" applyFont="1" applyFill="1" applyBorder="1" applyProtection="1"/>
    <xf numFmtId="5" fontId="23" fillId="0" borderId="158" xfId="0" applyNumberFormat="1" applyFont="1" applyFill="1" applyBorder="1" applyProtection="1"/>
    <xf numFmtId="5" fontId="15" fillId="0" borderId="168" xfId="0" applyNumberFormat="1" applyFont="1" applyFill="1" applyBorder="1" applyProtection="1"/>
    <xf numFmtId="5" fontId="15" fillId="0" borderId="177" xfId="0" applyNumberFormat="1" applyFont="1" applyFill="1" applyBorder="1" applyProtection="1"/>
    <xf numFmtId="5" fontId="23" fillId="27" borderId="162" xfId="0" applyNumberFormat="1" applyFont="1" applyFill="1" applyBorder="1" applyAlignment="1" applyProtection="1">
      <alignment vertical="center"/>
    </xf>
    <xf numFmtId="5" fontId="15" fillId="0" borderId="158" xfId="0" applyNumberFormat="1" applyFont="1" applyFill="1" applyBorder="1" applyProtection="1"/>
    <xf numFmtId="5" fontId="15" fillId="0" borderId="20" xfId="0" applyNumberFormat="1" applyFont="1" applyFill="1" applyBorder="1" applyProtection="1"/>
    <xf numFmtId="5" fontId="20" fillId="27" borderId="170" xfId="0" applyNumberFormat="1" applyFont="1" applyFill="1" applyBorder="1" applyAlignment="1" applyProtection="1">
      <alignment vertical="center"/>
    </xf>
    <xf numFmtId="5" fontId="20" fillId="0" borderId="151" xfId="0" applyNumberFormat="1" applyFont="1" applyFill="1" applyBorder="1" applyProtection="1"/>
    <xf numFmtId="5" fontId="15" fillId="0" borderId="156" xfId="0" applyNumberFormat="1" applyFont="1" applyFill="1" applyBorder="1" applyAlignment="1" applyProtection="1"/>
    <xf numFmtId="5" fontId="15" fillId="0" borderId="138" xfId="0" applyNumberFormat="1" applyFont="1" applyFill="1" applyBorder="1" applyAlignment="1" applyProtection="1"/>
    <xf numFmtId="5" fontId="23" fillId="0" borderId="155" xfId="0" applyNumberFormat="1" applyFont="1" applyFill="1" applyBorder="1" applyAlignment="1" applyProtection="1"/>
    <xf numFmtId="5" fontId="23" fillId="0" borderId="20" xfId="0" applyNumberFormat="1" applyFont="1" applyFill="1" applyBorder="1" applyAlignment="1" applyProtection="1"/>
    <xf numFmtId="5" fontId="15" fillId="0" borderId="160" xfId="0" applyNumberFormat="1" applyFont="1" applyFill="1" applyBorder="1" applyAlignment="1" applyProtection="1"/>
    <xf numFmtId="5" fontId="15" fillId="0" borderId="159" xfId="0" applyNumberFormat="1" applyFont="1" applyFill="1" applyBorder="1" applyAlignment="1" applyProtection="1"/>
    <xf numFmtId="5" fontId="15" fillId="0" borderId="155" xfId="0" applyNumberFormat="1" applyFont="1" applyFill="1" applyBorder="1" applyAlignment="1" applyProtection="1"/>
    <xf numFmtId="5" fontId="15" fillId="0" borderId="20" xfId="0" applyNumberFormat="1" applyFont="1" applyFill="1" applyBorder="1" applyAlignment="1" applyProtection="1"/>
    <xf numFmtId="43" fontId="15" fillId="0" borderId="20" xfId="28" applyFont="1" applyFill="1" applyBorder="1" applyAlignment="1" applyProtection="1"/>
    <xf numFmtId="10" fontId="15" fillId="0" borderId="20" xfId="48" applyNumberFormat="1" applyFont="1" applyFill="1" applyBorder="1" applyAlignment="1" applyProtection="1"/>
    <xf numFmtId="5" fontId="23" fillId="0" borderId="160" xfId="0" applyNumberFormat="1" applyFont="1" applyFill="1" applyBorder="1" applyAlignment="1" applyProtection="1"/>
    <xf numFmtId="5" fontId="23" fillId="0" borderId="159" xfId="0" applyNumberFormat="1" applyFont="1" applyFill="1" applyBorder="1" applyAlignment="1" applyProtection="1"/>
    <xf numFmtId="5" fontId="23" fillId="0" borderId="161" xfId="0" applyNumberFormat="1" applyFont="1" applyFill="1" applyBorder="1" applyAlignment="1" applyProtection="1">
      <alignment vertical="center"/>
    </xf>
    <xf numFmtId="5" fontId="23" fillId="0" borderId="162" xfId="0" applyNumberFormat="1" applyFont="1" applyFill="1" applyBorder="1" applyAlignment="1" applyProtection="1">
      <alignment vertical="center"/>
    </xf>
    <xf numFmtId="5" fontId="23" fillId="0" borderId="156" xfId="0" applyNumberFormat="1" applyFont="1" applyFill="1" applyBorder="1" applyAlignment="1" applyProtection="1">
      <alignment vertical="center"/>
    </xf>
    <xf numFmtId="5" fontId="23" fillId="0" borderId="138" xfId="0" applyNumberFormat="1" applyFont="1" applyFill="1" applyBorder="1" applyAlignment="1" applyProtection="1">
      <alignment vertical="center"/>
    </xf>
    <xf numFmtId="5" fontId="15" fillId="0" borderId="155" xfId="0" applyNumberFormat="1" applyFont="1" applyFill="1" applyBorder="1" applyAlignment="1" applyProtection="1">
      <alignment vertical="center"/>
    </xf>
    <xf numFmtId="5" fontId="15" fillId="0" borderId="20" xfId="0" applyNumberFormat="1" applyFont="1" applyFill="1" applyBorder="1" applyAlignment="1" applyProtection="1">
      <alignment vertical="center"/>
    </xf>
    <xf numFmtId="5" fontId="15" fillId="0" borderId="163" xfId="0" applyNumberFormat="1" applyFont="1" applyFill="1" applyBorder="1" applyAlignment="1" applyProtection="1">
      <alignment vertical="center"/>
    </xf>
    <xf numFmtId="5" fontId="15" fillId="0" borderId="48" xfId="0" applyNumberFormat="1" applyFont="1" applyFill="1" applyBorder="1" applyAlignment="1" applyProtection="1">
      <alignment vertical="center"/>
    </xf>
    <xf numFmtId="5" fontId="15" fillId="0" borderId="164" xfId="0" applyNumberFormat="1" applyFont="1" applyFill="1" applyBorder="1" applyAlignment="1" applyProtection="1">
      <alignment vertical="center"/>
    </xf>
    <xf numFmtId="5" fontId="15" fillId="0" borderId="49" xfId="0" applyNumberFormat="1" applyFont="1" applyFill="1" applyBorder="1" applyAlignment="1" applyProtection="1">
      <alignment vertical="center"/>
    </xf>
    <xf numFmtId="5" fontId="15" fillId="0" borderId="165" xfId="0" applyNumberFormat="1" applyFont="1" applyFill="1" applyBorder="1" applyAlignment="1" applyProtection="1">
      <alignment vertical="center"/>
    </xf>
    <xf numFmtId="5" fontId="15" fillId="0" borderId="166" xfId="0" applyNumberFormat="1" applyFont="1" applyFill="1" applyBorder="1" applyAlignment="1" applyProtection="1">
      <alignment vertical="center"/>
    </xf>
    <xf numFmtId="5" fontId="15" fillId="0" borderId="167" xfId="0" applyNumberFormat="1" applyFont="1" applyFill="1" applyBorder="1" applyAlignment="1" applyProtection="1">
      <alignment vertical="center"/>
    </xf>
    <xf numFmtId="5" fontId="15" fillId="0" borderId="168" xfId="0" applyNumberFormat="1" applyFont="1" applyFill="1" applyBorder="1" applyAlignment="1" applyProtection="1">
      <alignment vertical="center"/>
    </xf>
    <xf numFmtId="5" fontId="23" fillId="27" borderId="169" xfId="0" applyNumberFormat="1" applyFont="1" applyFill="1" applyBorder="1" applyAlignment="1" applyProtection="1"/>
    <xf numFmtId="5" fontId="23" fillId="27" borderId="170" xfId="0" applyNumberFormat="1" applyFont="1" applyFill="1" applyBorder="1" applyAlignment="1" applyProtection="1"/>
    <xf numFmtId="5" fontId="15" fillId="0" borderId="178" xfId="0" applyNumberFormat="1" applyFont="1" applyFill="1" applyBorder="1" applyProtection="1"/>
    <xf numFmtId="5" fontId="23" fillId="0" borderId="157" xfId="0" applyNumberFormat="1" applyFont="1" applyFill="1" applyBorder="1" applyProtection="1"/>
    <xf numFmtId="5" fontId="15" fillId="0" borderId="167" xfId="0" applyNumberFormat="1" applyFont="1" applyFill="1" applyBorder="1" applyProtection="1"/>
    <xf numFmtId="5" fontId="15" fillId="0" borderId="179" xfId="0" applyNumberFormat="1" applyFont="1" applyFill="1" applyBorder="1" applyProtection="1"/>
    <xf numFmtId="5" fontId="23" fillId="0" borderId="178" xfId="0" applyNumberFormat="1" applyFont="1" applyFill="1" applyBorder="1" applyProtection="1"/>
    <xf numFmtId="5" fontId="23" fillId="0" borderId="164" xfId="0" applyNumberFormat="1" applyFont="1" applyFill="1" applyBorder="1" applyProtection="1"/>
    <xf numFmtId="5" fontId="23" fillId="27" borderId="161" xfId="0" applyNumberFormat="1" applyFont="1" applyFill="1" applyBorder="1" applyAlignment="1" applyProtection="1">
      <alignment vertical="center"/>
    </xf>
    <xf numFmtId="5" fontId="15" fillId="0" borderId="157" xfId="0" applyNumberFormat="1" applyFont="1" applyFill="1" applyBorder="1" applyProtection="1"/>
    <xf numFmtId="5" fontId="15" fillId="0" borderId="163" xfId="0" applyNumberFormat="1" applyFont="1" applyFill="1" applyBorder="1" applyAlignment="1" applyProtection="1"/>
    <xf numFmtId="5" fontId="20" fillId="27" borderId="169" xfId="0" applyNumberFormat="1" applyFont="1" applyFill="1" applyBorder="1" applyAlignment="1" applyProtection="1">
      <alignment vertical="center"/>
    </xf>
    <xf numFmtId="5" fontId="15" fillId="0" borderId="180" xfId="0" applyNumberFormat="1" applyFont="1" applyFill="1" applyBorder="1" applyProtection="1"/>
    <xf numFmtId="5" fontId="23" fillId="0" borderId="181" xfId="0" applyNumberFormat="1" applyFont="1" applyFill="1" applyBorder="1" applyProtection="1"/>
    <xf numFmtId="5" fontId="15" fillId="0" borderId="182" xfId="0" applyNumberFormat="1" applyFont="1" applyFill="1" applyBorder="1" applyProtection="1"/>
    <xf numFmtId="5" fontId="15" fillId="0" borderId="183" xfId="0" applyNumberFormat="1" applyFont="1" applyFill="1" applyBorder="1" applyProtection="1"/>
    <xf numFmtId="5" fontId="23" fillId="27" borderId="184" xfId="0" applyNumberFormat="1" applyFont="1" applyFill="1" applyBorder="1" applyAlignment="1" applyProtection="1">
      <alignment vertical="center"/>
    </xf>
    <xf numFmtId="5" fontId="15" fillId="0" borderId="181" xfId="0" applyNumberFormat="1" applyFont="1" applyFill="1" applyBorder="1" applyProtection="1"/>
    <xf numFmtId="5" fontId="15" fillId="0" borderId="45" xfId="0" applyNumberFormat="1" applyFont="1" applyFill="1" applyBorder="1" applyProtection="1"/>
    <xf numFmtId="5" fontId="15" fillId="0" borderId="185" xfId="0" applyNumberFormat="1" applyFont="1" applyFill="1" applyBorder="1" applyAlignment="1" applyProtection="1"/>
    <xf numFmtId="165" fontId="47" fillId="27" borderId="186" xfId="0" applyNumberFormat="1" applyFont="1" applyFill="1" applyBorder="1" applyAlignment="1" applyProtection="1">
      <alignment vertical="center"/>
    </xf>
    <xf numFmtId="5" fontId="23" fillId="0" borderId="42" xfId="0" applyNumberFormat="1" applyFont="1" applyFill="1" applyBorder="1" applyProtection="1"/>
    <xf numFmtId="5" fontId="20" fillId="0" borderId="187" xfId="0" applyNumberFormat="1" applyFont="1" applyFill="1" applyBorder="1" applyAlignment="1" applyProtection="1">
      <alignment horizontal="left"/>
    </xf>
    <xf numFmtId="5" fontId="20" fillId="0" borderId="150" xfId="0" applyNumberFormat="1" applyFont="1" applyFill="1" applyBorder="1" applyAlignment="1" applyProtection="1"/>
    <xf numFmtId="10" fontId="27" fillId="41" borderId="79" xfId="48" applyNumberFormat="1" applyFont="1" applyFill="1" applyBorder="1" applyAlignment="1">
      <alignment horizontal="right"/>
    </xf>
    <xf numFmtId="6" fontId="27" fillId="41" borderId="12" xfId="32" applyNumberFormat="1" applyFont="1" applyFill="1" applyBorder="1" applyAlignment="1">
      <alignment horizontal="right"/>
    </xf>
    <xf numFmtId="6" fontId="5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/>
    <xf numFmtId="10" fontId="27" fillId="41" borderId="79" xfId="32" applyNumberFormat="1" applyFont="1" applyFill="1" applyBorder="1" applyAlignment="1">
      <alignment horizontal="right"/>
    </xf>
    <xf numFmtId="0" fontId="70" fillId="0" borderId="0" xfId="0" applyFont="1" applyAlignment="1">
      <alignment horizontal="right" vertical="top"/>
    </xf>
    <xf numFmtId="43" fontId="10" fillId="0" borderId="0" xfId="0" applyNumberFormat="1" applyFont="1"/>
    <xf numFmtId="10" fontId="10" fillId="0" borderId="0" xfId="0" applyNumberFormat="1" applyFont="1"/>
    <xf numFmtId="38" fontId="0" fillId="0" borderId="0" xfId="0" applyNumberFormat="1"/>
    <xf numFmtId="1" fontId="8" fillId="26" borderId="11" xfId="53" applyNumberFormat="1" applyFont="1" applyFill="1" applyBorder="1" applyAlignment="1" applyProtection="1">
      <alignment horizontal="center"/>
    </xf>
    <xf numFmtId="1" fontId="12" fillId="26" borderId="11" xfId="53" applyNumberFormat="1" applyFont="1" applyFill="1" applyBorder="1" applyAlignment="1" applyProtection="1">
      <alignment horizontal="center"/>
    </xf>
    <xf numFmtId="1" fontId="21" fillId="26" borderId="10" xfId="53" quotePrefix="1" applyNumberFormat="1" applyFont="1" applyFill="1" applyBorder="1" applyAlignment="1" applyProtection="1">
      <alignment horizontal="center"/>
    </xf>
    <xf numFmtId="0" fontId="8" fillId="0" borderId="116" xfId="53" applyFont="1" applyFill="1" applyBorder="1" applyProtection="1"/>
    <xf numFmtId="0" fontId="8" fillId="0" borderId="117" xfId="53" applyFont="1" applyFill="1" applyBorder="1" applyProtection="1"/>
    <xf numFmtId="172" fontId="8" fillId="41" borderId="117" xfId="54" applyNumberFormat="1" applyFont="1" applyFill="1" applyBorder="1" applyAlignment="1" applyProtection="1">
      <alignment horizontal="right"/>
    </xf>
    <xf numFmtId="166" fontId="8" fillId="0" borderId="118" xfId="54" applyNumberFormat="1" applyFont="1" applyFill="1" applyBorder="1" applyAlignment="1" applyProtection="1">
      <alignment horizontal="right"/>
    </xf>
    <xf numFmtId="166" fontId="8" fillId="42" borderId="118" xfId="54" applyNumberFormat="1" applyFont="1" applyFill="1" applyBorder="1" applyAlignment="1" applyProtection="1">
      <alignment horizontal="right"/>
    </xf>
    <xf numFmtId="166" fontId="8" fillId="43" borderId="117" xfId="53" applyNumberFormat="1" applyFont="1" applyFill="1" applyBorder="1" applyAlignment="1" applyProtection="1">
      <alignment horizontal="right"/>
    </xf>
    <xf numFmtId="166" fontId="8" fillId="44" borderId="117" xfId="53" applyNumberFormat="1" applyFont="1" applyFill="1" applyBorder="1" applyAlignment="1" applyProtection="1">
      <alignment horizontal="right"/>
    </xf>
    <xf numFmtId="0" fontId="8" fillId="0" borderId="120" xfId="53" applyFont="1" applyFill="1" applyBorder="1" applyProtection="1"/>
    <xf numFmtId="0" fontId="8" fillId="0" borderId="121" xfId="53" applyFont="1" applyFill="1" applyBorder="1" applyProtection="1"/>
    <xf numFmtId="166" fontId="8" fillId="0" borderId="122" xfId="54" applyNumberFormat="1" applyFont="1" applyFill="1" applyBorder="1" applyAlignment="1" applyProtection="1">
      <alignment horizontal="right"/>
    </xf>
    <xf numFmtId="0" fontId="8" fillId="0" borderId="123" xfId="53" applyFont="1" applyFill="1" applyBorder="1" applyProtection="1"/>
    <xf numFmtId="0" fontId="8" fillId="0" borderId="124" xfId="53" applyFont="1" applyFill="1" applyBorder="1" applyProtection="1"/>
    <xf numFmtId="166" fontId="8" fillId="0" borderId="125" xfId="54" applyNumberFormat="1" applyFont="1" applyFill="1" applyBorder="1" applyAlignment="1" applyProtection="1">
      <alignment horizontal="right"/>
    </xf>
    <xf numFmtId="166" fontId="8" fillId="0" borderId="122" xfId="53" applyNumberFormat="1" applyFont="1" applyFill="1" applyBorder="1" applyAlignment="1" applyProtection="1">
      <alignment horizontal="right"/>
    </xf>
    <xf numFmtId="166" fontId="8" fillId="0" borderId="125" xfId="53" applyNumberFormat="1" applyFont="1" applyFill="1" applyBorder="1" applyAlignment="1" applyProtection="1">
      <alignment horizontal="right"/>
    </xf>
    <xf numFmtId="166" fontId="8" fillId="0" borderId="118" xfId="53" applyNumberFormat="1" applyFont="1" applyFill="1" applyBorder="1" applyAlignment="1" applyProtection="1">
      <alignment horizontal="right"/>
    </xf>
    <xf numFmtId="0" fontId="8" fillId="0" borderId="127" xfId="53" applyFont="1" applyFill="1" applyBorder="1" applyProtection="1"/>
    <xf numFmtId="0" fontId="8" fillId="0" borderId="128" xfId="53" applyFont="1" applyFill="1" applyBorder="1" applyProtection="1"/>
    <xf numFmtId="166" fontId="8" fillId="0" borderId="129" xfId="53" applyNumberFormat="1" applyFont="1" applyFill="1" applyBorder="1" applyAlignment="1" applyProtection="1">
      <alignment horizontal="right"/>
    </xf>
    <xf numFmtId="0" fontId="12" fillId="0" borderId="130" xfId="53" applyFont="1" applyFill="1" applyBorder="1" applyProtection="1"/>
    <xf numFmtId="0" fontId="27" fillId="0" borderId="82" xfId="53" applyFont="1" applyFill="1" applyBorder="1" applyAlignment="1" applyProtection="1">
      <alignment horizontal="center"/>
    </xf>
    <xf numFmtId="172" fontId="27" fillId="41" borderId="82" xfId="54" applyNumberFormat="1" applyFont="1" applyFill="1" applyBorder="1" applyAlignment="1" applyProtection="1">
      <alignment horizontal="right"/>
    </xf>
    <xf numFmtId="166" fontId="27" fillId="0" borderId="83" xfId="54" applyNumberFormat="1" applyFont="1" applyFill="1" applyBorder="1" applyAlignment="1" applyProtection="1">
      <alignment horizontal="right"/>
    </xf>
    <xf numFmtId="166" fontId="27" fillId="42" borderId="83" xfId="54" applyNumberFormat="1" applyFont="1" applyFill="1" applyBorder="1" applyAlignment="1" applyProtection="1">
      <alignment horizontal="right"/>
    </xf>
    <xf numFmtId="166" fontId="27" fillId="43" borderId="82" xfId="54" applyNumberFormat="1" applyFont="1" applyFill="1" applyBorder="1" applyAlignment="1" applyProtection="1">
      <alignment horizontal="right"/>
    </xf>
    <xf numFmtId="166" fontId="27" fillId="44" borderId="82" xfId="54" applyNumberFormat="1" applyFont="1" applyFill="1" applyBorder="1" applyAlignment="1" applyProtection="1">
      <alignment horizontal="right"/>
    </xf>
    <xf numFmtId="1" fontId="37" fillId="26" borderId="26" xfId="53" applyNumberFormat="1" applyFont="1" applyFill="1" applyBorder="1" applyAlignment="1" applyProtection="1">
      <alignment horizontal="center"/>
    </xf>
    <xf numFmtId="1" fontId="108" fillId="26" borderId="26" xfId="53" applyNumberFormat="1" applyFont="1" applyFill="1" applyBorder="1" applyAlignment="1" applyProtection="1">
      <alignment horizontal="center"/>
    </xf>
    <xf numFmtId="166" fontId="8" fillId="0" borderId="119" xfId="53" applyNumberFormat="1" applyFont="1" applyFill="1" applyBorder="1" applyAlignment="1" applyProtection="1">
      <alignment horizontal="right"/>
    </xf>
    <xf numFmtId="166" fontId="8" fillId="42" borderId="122" xfId="54" applyNumberFormat="1" applyFont="1" applyFill="1" applyBorder="1" applyAlignment="1" applyProtection="1">
      <alignment horizontal="right"/>
    </xf>
    <xf numFmtId="166" fontId="8" fillId="43" borderId="121" xfId="53" applyNumberFormat="1" applyFont="1" applyFill="1" applyBorder="1" applyAlignment="1" applyProtection="1">
      <alignment horizontal="right"/>
    </xf>
    <xf numFmtId="166" fontId="8" fillId="44" borderId="121" xfId="53" applyNumberFormat="1" applyFont="1" applyFill="1" applyBorder="1" applyAlignment="1" applyProtection="1">
      <alignment horizontal="right"/>
    </xf>
    <xf numFmtId="166" fontId="8" fillId="42" borderId="125" xfId="54" applyNumberFormat="1" applyFont="1" applyFill="1" applyBorder="1" applyAlignment="1" applyProtection="1">
      <alignment horizontal="right"/>
    </xf>
    <xf numFmtId="166" fontId="8" fillId="0" borderId="126" xfId="53" applyNumberFormat="1" applyFont="1" applyFill="1" applyBorder="1" applyAlignment="1" applyProtection="1">
      <alignment horizontal="right"/>
    </xf>
    <xf numFmtId="166" fontId="8" fillId="43" borderId="124" xfId="53" applyNumberFormat="1" applyFont="1" applyFill="1" applyBorder="1" applyAlignment="1" applyProtection="1">
      <alignment horizontal="right"/>
    </xf>
    <xf numFmtId="166" fontId="8" fillId="44" borderId="124" xfId="53" applyNumberFormat="1" applyFont="1" applyFill="1" applyBorder="1" applyAlignment="1" applyProtection="1">
      <alignment horizontal="right"/>
    </xf>
    <xf numFmtId="166" fontId="8" fillId="42" borderId="122" xfId="53" applyNumberFormat="1" applyFont="1" applyFill="1" applyBorder="1" applyAlignment="1" applyProtection="1">
      <alignment horizontal="right"/>
    </xf>
    <xf numFmtId="166" fontId="8" fillId="42" borderId="125" xfId="53" applyNumberFormat="1" applyFont="1" applyFill="1" applyBorder="1" applyAlignment="1" applyProtection="1">
      <alignment horizontal="right"/>
    </xf>
    <xf numFmtId="166" fontId="8" fillId="42" borderId="118" xfId="53" applyNumberFormat="1" applyFont="1" applyFill="1" applyBorder="1" applyAlignment="1" applyProtection="1">
      <alignment horizontal="right"/>
    </xf>
    <xf numFmtId="166" fontId="8" fillId="42" borderId="129" xfId="53" applyNumberFormat="1" applyFont="1" applyFill="1" applyBorder="1" applyAlignment="1" applyProtection="1">
      <alignment horizontal="right"/>
    </xf>
    <xf numFmtId="166" fontId="8" fillId="43" borderId="128" xfId="53" applyNumberFormat="1" applyFont="1" applyFill="1" applyBorder="1" applyAlignment="1" applyProtection="1">
      <alignment horizontal="right"/>
    </xf>
    <xf numFmtId="166" fontId="8" fillId="44" borderId="128" xfId="53" applyNumberFormat="1" applyFont="1" applyFill="1" applyBorder="1" applyAlignment="1" applyProtection="1">
      <alignment horizontal="right"/>
    </xf>
    <xf numFmtId="166" fontId="12" fillId="0" borderId="131" xfId="53" applyNumberFormat="1" applyFont="1" applyFill="1" applyBorder="1" applyAlignment="1" applyProtection="1">
      <alignment horizontal="right"/>
    </xf>
    <xf numFmtId="0" fontId="98" fillId="49" borderId="13" xfId="0" applyFont="1" applyFill="1" applyBorder="1" applyAlignment="1">
      <alignment horizontal="left" wrapText="1"/>
    </xf>
    <xf numFmtId="0" fontId="75" fillId="49" borderId="13" xfId="0" applyFont="1" applyFill="1" applyBorder="1" applyAlignment="1">
      <alignment horizontal="left" wrapText="1"/>
    </xf>
    <xf numFmtId="3" fontId="60" fillId="41" borderId="35" xfId="0" applyNumberFormat="1" applyFont="1" applyFill="1" applyBorder="1" applyAlignment="1">
      <alignment horizontal="right" wrapText="1"/>
    </xf>
    <xf numFmtId="6" fontId="8" fillId="0" borderId="11" xfId="0" applyNumberFormat="1" applyFont="1" applyFill="1" applyBorder="1" applyProtection="1"/>
    <xf numFmtId="166" fontId="8" fillId="43" borderId="118" xfId="54" applyNumberFormat="1" applyFont="1" applyFill="1" applyBorder="1" applyAlignment="1" applyProtection="1">
      <alignment horizontal="right"/>
    </xf>
    <xf numFmtId="166" fontId="8" fillId="43" borderId="122" xfId="54" applyNumberFormat="1" applyFont="1" applyFill="1" applyBorder="1" applyAlignment="1" applyProtection="1">
      <alignment horizontal="right"/>
    </xf>
    <xf numFmtId="166" fontId="8" fillId="43" borderId="125" xfId="54" applyNumberFormat="1" applyFont="1" applyFill="1" applyBorder="1" applyAlignment="1" applyProtection="1">
      <alignment horizontal="right"/>
    </xf>
    <xf numFmtId="166" fontId="8" fillId="43" borderId="122" xfId="53" applyNumberFormat="1" applyFont="1" applyFill="1" applyBorder="1" applyAlignment="1" applyProtection="1">
      <alignment horizontal="right"/>
    </xf>
    <xf numFmtId="166" fontId="8" fillId="43" borderId="125" xfId="53" applyNumberFormat="1" applyFont="1" applyFill="1" applyBorder="1" applyAlignment="1" applyProtection="1">
      <alignment horizontal="right"/>
    </xf>
    <xf numFmtId="166" fontId="8" fillId="43" borderId="118" xfId="53" applyNumberFormat="1" applyFont="1" applyFill="1" applyBorder="1" applyAlignment="1" applyProtection="1">
      <alignment horizontal="right"/>
    </xf>
    <xf numFmtId="166" fontId="8" fillId="43" borderId="129" xfId="53" applyNumberFormat="1" applyFont="1" applyFill="1" applyBorder="1" applyAlignment="1" applyProtection="1">
      <alignment horizontal="right"/>
    </xf>
    <xf numFmtId="166" fontId="27" fillId="43" borderId="83" xfId="54" applyNumberFormat="1" applyFont="1" applyFill="1" applyBorder="1" applyAlignment="1" applyProtection="1">
      <alignment horizontal="right"/>
    </xf>
    <xf numFmtId="5" fontId="20" fillId="27" borderId="45" xfId="0" applyNumberFormat="1" applyFont="1" applyFill="1" applyBorder="1" applyAlignment="1" applyProtection="1">
      <alignment vertical="center"/>
    </xf>
    <xf numFmtId="0" fontId="0" fillId="0" borderId="0" xfId="0" applyAlignment="1">
      <alignment horizontal="center" vertical="top" wrapText="1"/>
    </xf>
    <xf numFmtId="166" fontId="8" fillId="41" borderId="118" xfId="54" applyNumberFormat="1" applyFont="1" applyFill="1" applyBorder="1" applyAlignment="1" applyProtection="1">
      <alignment horizontal="right"/>
    </xf>
    <xf numFmtId="166" fontId="8" fillId="41" borderId="122" xfId="54" applyNumberFormat="1" applyFont="1" applyFill="1" applyBorder="1" applyAlignment="1" applyProtection="1">
      <alignment horizontal="right"/>
    </xf>
    <xf numFmtId="166" fontId="8" fillId="41" borderId="125" xfId="54" applyNumberFormat="1" applyFont="1" applyFill="1" applyBorder="1" applyAlignment="1" applyProtection="1">
      <alignment horizontal="right"/>
    </xf>
    <xf numFmtId="166" fontId="8" fillId="41" borderId="122" xfId="53" applyNumberFormat="1" applyFont="1" applyFill="1" applyBorder="1" applyAlignment="1" applyProtection="1">
      <alignment horizontal="right"/>
    </xf>
    <xf numFmtId="166" fontId="8" fillId="41" borderId="125" xfId="53" applyNumberFormat="1" applyFont="1" applyFill="1" applyBorder="1" applyAlignment="1" applyProtection="1">
      <alignment horizontal="right"/>
    </xf>
    <xf numFmtId="166" fontId="8" fillId="41" borderId="118" xfId="53" applyNumberFormat="1" applyFont="1" applyFill="1" applyBorder="1" applyAlignment="1" applyProtection="1">
      <alignment horizontal="right"/>
    </xf>
    <xf numFmtId="166" fontId="8" fillId="41" borderId="129" xfId="53" applyNumberFormat="1" applyFont="1" applyFill="1" applyBorder="1" applyAlignment="1" applyProtection="1">
      <alignment horizontal="right"/>
    </xf>
    <xf numFmtId="166" fontId="27" fillId="41" borderId="83" xfId="54" applyNumberFormat="1" applyFont="1" applyFill="1" applyBorder="1" applyAlignment="1" applyProtection="1">
      <alignment horizontal="right"/>
    </xf>
    <xf numFmtId="10" fontId="27" fillId="60" borderId="13" xfId="48" applyNumberFormat="1" applyFont="1" applyFill="1" applyBorder="1" applyAlignment="1">
      <alignment horizontal="center" vertical="center" wrapText="1"/>
    </xf>
    <xf numFmtId="10" fontId="27" fillId="43" borderId="13" xfId="48" applyNumberFormat="1" applyFont="1" applyFill="1" applyBorder="1" applyAlignment="1">
      <alignment horizontal="center" vertical="center" wrapText="1"/>
    </xf>
    <xf numFmtId="6" fontId="8" fillId="41" borderId="118" xfId="54" applyNumberFormat="1" applyFont="1" applyFill="1" applyBorder="1" applyAlignment="1" applyProtection="1">
      <alignment horizontal="right"/>
    </xf>
    <xf numFmtId="6" fontId="8" fillId="41" borderId="122" xfId="54" applyNumberFormat="1" applyFont="1" applyFill="1" applyBorder="1" applyAlignment="1" applyProtection="1">
      <alignment horizontal="right"/>
    </xf>
    <xf numFmtId="6" fontId="8" fillId="41" borderId="125" xfId="54" applyNumberFormat="1" applyFont="1" applyFill="1" applyBorder="1" applyAlignment="1" applyProtection="1">
      <alignment horizontal="right"/>
    </xf>
    <xf numFmtId="6" fontId="8" fillId="41" borderId="122" xfId="53" applyNumberFormat="1" applyFont="1" applyFill="1" applyBorder="1" applyAlignment="1" applyProtection="1">
      <alignment horizontal="right"/>
    </xf>
    <xf numFmtId="6" fontId="8" fillId="41" borderId="125" xfId="53" applyNumberFormat="1" applyFont="1" applyFill="1" applyBorder="1" applyAlignment="1" applyProtection="1">
      <alignment horizontal="right"/>
    </xf>
    <xf numFmtId="6" fontId="8" fillId="41" borderId="118" xfId="53" applyNumberFormat="1" applyFont="1" applyFill="1" applyBorder="1" applyAlignment="1" applyProtection="1">
      <alignment horizontal="right"/>
    </xf>
    <xf numFmtId="6" fontId="8" fillId="41" borderId="129" xfId="53" applyNumberFormat="1" applyFont="1" applyFill="1" applyBorder="1" applyAlignment="1" applyProtection="1">
      <alignment horizontal="right"/>
    </xf>
    <xf numFmtId="6" fontId="27" fillId="41" borderId="83" xfId="54" applyNumberFormat="1" applyFont="1" applyFill="1" applyBorder="1" applyAlignment="1" applyProtection="1">
      <alignment horizontal="right"/>
    </xf>
    <xf numFmtId="6" fontId="8" fillId="41" borderId="117" xfId="53" applyNumberFormat="1" applyFont="1" applyFill="1" applyBorder="1" applyAlignment="1" applyProtection="1">
      <alignment horizontal="right"/>
    </xf>
    <xf numFmtId="6" fontId="8" fillId="41" borderId="121" xfId="53" applyNumberFormat="1" applyFont="1" applyFill="1" applyBorder="1" applyAlignment="1" applyProtection="1">
      <alignment horizontal="right"/>
    </xf>
    <xf numFmtId="6" fontId="8" fillId="41" borderId="124" xfId="53" applyNumberFormat="1" applyFont="1" applyFill="1" applyBorder="1" applyAlignment="1" applyProtection="1">
      <alignment horizontal="right"/>
    </xf>
    <xf numFmtId="6" fontId="8" fillId="41" borderId="128" xfId="53" applyNumberFormat="1" applyFont="1" applyFill="1" applyBorder="1" applyAlignment="1" applyProtection="1">
      <alignment horizontal="right"/>
    </xf>
    <xf numFmtId="6" fontId="27" fillId="41" borderId="82" xfId="54" applyNumberFormat="1" applyFont="1" applyFill="1" applyBorder="1" applyAlignment="1" applyProtection="1">
      <alignment horizontal="right"/>
    </xf>
    <xf numFmtId="6" fontId="8" fillId="0" borderId="0" xfId="53" applyNumberFormat="1" applyFont="1" applyBorder="1" applyAlignment="1">
      <alignment horizontal="right"/>
    </xf>
    <xf numFmtId="0" fontId="0" fillId="0" borderId="0" xfId="0" applyBorder="1" applyAlignment="1">
      <alignment horizontal="left" wrapText="1"/>
    </xf>
    <xf numFmtId="5" fontId="20" fillId="27" borderId="188" xfId="0" applyNumberFormat="1" applyFont="1" applyFill="1" applyBorder="1" applyAlignment="1" applyProtection="1">
      <alignment vertical="center"/>
    </xf>
    <xf numFmtId="10" fontId="15" fillId="27" borderId="189" xfId="0" applyNumberFormat="1" applyFont="1" applyFill="1" applyBorder="1" applyAlignment="1" applyProtection="1">
      <alignment vertical="center"/>
    </xf>
    <xf numFmtId="0" fontId="13" fillId="0" borderId="190" xfId="0" quotePrefix="1" applyFont="1" applyFill="1" applyBorder="1" applyAlignment="1">
      <alignment horizontal="center"/>
    </xf>
    <xf numFmtId="0" fontId="10" fillId="41" borderId="69" xfId="0" applyFont="1" applyFill="1" applyBorder="1" applyProtection="1"/>
    <xf numFmtId="6" fontId="10" fillId="41" borderId="11" xfId="0" applyNumberFormat="1" applyFont="1" applyFill="1" applyBorder="1" applyProtection="1"/>
    <xf numFmtId="0" fontId="10" fillId="41" borderId="70" xfId="0" applyFont="1" applyFill="1" applyBorder="1" applyProtection="1"/>
    <xf numFmtId="6" fontId="10" fillId="41" borderId="72" xfId="0" applyNumberFormat="1" applyFont="1" applyFill="1" applyBorder="1" applyProtection="1"/>
    <xf numFmtId="6" fontId="111" fillId="41" borderId="11" xfId="0" applyNumberFormat="1" applyFont="1" applyFill="1" applyBorder="1" applyProtection="1"/>
    <xf numFmtId="0" fontId="23" fillId="41" borderId="52" xfId="0" applyFont="1" applyFill="1" applyBorder="1" applyAlignment="1">
      <alignment horizontal="center"/>
    </xf>
    <xf numFmtId="0" fontId="23" fillId="41" borderId="51" xfId="0" applyFont="1" applyFill="1" applyBorder="1" applyAlignment="1">
      <alignment horizontal="left"/>
    </xf>
    <xf numFmtId="0" fontId="13" fillId="41" borderId="51" xfId="0" applyFont="1" applyFill="1" applyBorder="1" applyAlignment="1">
      <alignment horizontal="left"/>
    </xf>
    <xf numFmtId="5" fontId="23" fillId="41" borderId="19" xfId="0" applyNumberFormat="1" applyFont="1" applyFill="1" applyBorder="1" applyProtection="1"/>
    <xf numFmtId="5" fontId="23" fillId="41" borderId="157" xfId="0" applyNumberFormat="1" applyFont="1" applyFill="1" applyBorder="1" applyProtection="1"/>
    <xf numFmtId="5" fontId="23" fillId="41" borderId="181" xfId="0" applyNumberFormat="1" applyFont="1" applyFill="1" applyBorder="1" applyProtection="1"/>
    <xf numFmtId="5" fontId="23" fillId="41" borderId="158" xfId="0" applyNumberFormat="1" applyFont="1" applyFill="1" applyBorder="1" applyProtection="1"/>
    <xf numFmtId="10" fontId="23" fillId="41" borderId="97" xfId="0" applyNumberFormat="1" applyFont="1" applyFill="1" applyBorder="1" applyProtection="1"/>
    <xf numFmtId="0" fontId="13" fillId="0" borderId="51" xfId="0" applyFont="1" applyFill="1" applyBorder="1" applyAlignment="1">
      <alignment horizontal="left" wrapText="1"/>
    </xf>
    <xf numFmtId="0" fontId="13" fillId="0" borderId="191" xfId="0" applyFont="1" applyFill="1" applyBorder="1" applyAlignment="1">
      <alignment horizontal="left"/>
    </xf>
    <xf numFmtId="5" fontId="23" fillId="0" borderId="192" xfId="0" applyNumberFormat="1" applyFont="1" applyFill="1" applyBorder="1" applyProtection="1"/>
    <xf numFmtId="5" fontId="15" fillId="0" borderId="193" xfId="0" applyNumberFormat="1" applyFont="1" applyFill="1" applyBorder="1" applyProtection="1"/>
    <xf numFmtId="5" fontId="15" fillId="0" borderId="194" xfId="0" applyNumberFormat="1" applyFont="1" applyFill="1" applyBorder="1" applyProtection="1"/>
    <xf numFmtId="5" fontId="15" fillId="0" borderId="195" xfId="0" applyNumberFormat="1" applyFont="1" applyFill="1" applyBorder="1" applyProtection="1"/>
    <xf numFmtId="5" fontId="15" fillId="0" borderId="196" xfId="0" applyNumberFormat="1" applyFont="1" applyFill="1" applyBorder="1" applyAlignment="1" applyProtection="1"/>
    <xf numFmtId="0" fontId="13" fillId="0" borderId="197" xfId="0" applyFont="1" applyFill="1" applyBorder="1" applyAlignment="1">
      <alignment horizontal="left"/>
    </xf>
    <xf numFmtId="5" fontId="15" fillId="0" borderId="198" xfId="0" applyNumberFormat="1" applyFont="1" applyFill="1" applyBorder="1" applyAlignment="1" applyProtection="1"/>
    <xf numFmtId="5" fontId="15" fillId="0" borderId="199" xfId="0" applyNumberFormat="1" applyFont="1" applyFill="1" applyBorder="1" applyAlignment="1" applyProtection="1"/>
    <xf numFmtId="5" fontId="15" fillId="0" borderId="200" xfId="0" applyNumberFormat="1" applyFont="1" applyFill="1" applyBorder="1" applyAlignment="1" applyProtection="1"/>
    <xf numFmtId="5" fontId="15" fillId="0" borderId="201" xfId="0" applyNumberFormat="1" applyFont="1" applyFill="1" applyBorder="1" applyProtection="1"/>
    <xf numFmtId="10" fontId="15" fillId="0" borderId="202" xfId="0" applyNumberFormat="1" applyFont="1" applyFill="1" applyBorder="1" applyProtection="1"/>
    <xf numFmtId="0" fontId="13" fillId="0" borderId="203" xfId="0" applyFont="1" applyFill="1" applyBorder="1" applyAlignment="1">
      <alignment horizontal="left"/>
    </xf>
    <xf numFmtId="5" fontId="15" fillId="0" borderId="204" xfId="0" applyNumberFormat="1" applyFont="1" applyFill="1" applyBorder="1" applyProtection="1"/>
    <xf numFmtId="5" fontId="15" fillId="0" borderId="205" xfId="0" applyNumberFormat="1" applyFont="1" applyFill="1" applyBorder="1" applyProtection="1"/>
    <xf numFmtId="5" fontId="15" fillId="0" borderId="206" xfId="0" applyNumberFormat="1" applyFont="1" applyFill="1" applyBorder="1" applyProtection="1"/>
    <xf numFmtId="10" fontId="15" fillId="0" borderId="207" xfId="0" applyNumberFormat="1" applyFont="1" applyFill="1" applyBorder="1" applyProtection="1"/>
    <xf numFmtId="0" fontId="13" fillId="0" borderId="21" xfId="0" applyFont="1" applyFill="1" applyBorder="1" applyAlignment="1">
      <alignment horizontal="right"/>
    </xf>
    <xf numFmtId="165" fontId="13" fillId="0" borderId="155" xfId="28" applyNumberFormat="1" applyFont="1" applyFill="1" applyBorder="1" applyAlignment="1" applyProtection="1"/>
    <xf numFmtId="165" fontId="13" fillId="0" borderId="20" xfId="28" applyNumberFormat="1" applyFont="1" applyFill="1" applyBorder="1" applyAlignment="1" applyProtection="1"/>
    <xf numFmtId="165" fontId="13" fillId="0" borderId="154" xfId="28" applyNumberFormat="1" applyFont="1" applyFill="1" applyBorder="1" applyAlignment="1" applyProtection="1"/>
    <xf numFmtId="165" fontId="13" fillId="0" borderId="144" xfId="28" applyNumberFormat="1" applyFont="1" applyFill="1" applyBorder="1" applyAlignment="1" applyProtection="1"/>
    <xf numFmtId="165" fontId="13" fillId="0" borderId="27" xfId="28" applyNumberFormat="1" applyFont="1" applyFill="1" applyBorder="1" applyProtection="1"/>
    <xf numFmtId="0" fontId="13" fillId="0" borderId="21" xfId="0" applyFont="1" applyFill="1" applyBorder="1" applyAlignment="1">
      <alignment horizontal="right" vertical="top"/>
    </xf>
    <xf numFmtId="0" fontId="13" fillId="0" borderId="20" xfId="0" applyFont="1" applyFill="1" applyBorder="1" applyAlignment="1">
      <alignment horizontal="left" vertical="top" wrapText="1"/>
    </xf>
    <xf numFmtId="0" fontId="8" fillId="0" borderId="0" xfId="53"/>
    <xf numFmtId="3" fontId="8" fillId="41" borderId="121" xfId="54" applyNumberFormat="1" applyFont="1" applyFill="1" applyBorder="1" applyAlignment="1" applyProtection="1">
      <alignment horizontal="right"/>
    </xf>
    <xf numFmtId="3" fontId="8" fillId="41" borderId="124" xfId="54" applyNumberFormat="1" applyFont="1" applyFill="1" applyBorder="1" applyAlignment="1" applyProtection="1">
      <alignment horizontal="right"/>
    </xf>
    <xf numFmtId="3" fontId="8" fillId="41" borderId="117" xfId="54" applyNumberFormat="1" applyFont="1" applyFill="1" applyBorder="1" applyAlignment="1" applyProtection="1">
      <alignment horizontal="right"/>
    </xf>
    <xf numFmtId="3" fontId="8" fillId="41" borderId="121" xfId="53" applyNumberFormat="1" applyFont="1" applyFill="1" applyBorder="1" applyAlignment="1" applyProtection="1">
      <alignment horizontal="right"/>
    </xf>
    <xf numFmtId="3" fontId="8" fillId="41" borderId="124" xfId="53" applyNumberFormat="1" applyFont="1" applyFill="1" applyBorder="1" applyAlignment="1" applyProtection="1">
      <alignment horizontal="right"/>
    </xf>
    <xf numFmtId="3" fontId="8" fillId="41" borderId="117" xfId="53" applyNumberFormat="1" applyFont="1" applyFill="1" applyBorder="1" applyAlignment="1" applyProtection="1">
      <alignment horizontal="right"/>
    </xf>
    <xf numFmtId="3" fontId="8" fillId="41" borderId="128" xfId="53" applyNumberFormat="1" applyFont="1" applyFill="1" applyBorder="1" applyAlignment="1" applyProtection="1">
      <alignment horizontal="right"/>
    </xf>
    <xf numFmtId="0" fontId="8" fillId="0" borderId="0" xfId="0" applyFont="1" applyAlignment="1">
      <alignment wrapText="1"/>
    </xf>
    <xf numFmtId="0" fontId="10" fillId="0" borderId="0" xfId="0" applyFont="1" applyAlignment="1">
      <alignment horizontal="center"/>
    </xf>
    <xf numFmtId="6" fontId="10" fillId="42" borderId="118" xfId="30" applyNumberFormat="1" applyFont="1" applyFill="1" applyBorder="1" applyAlignment="1" applyProtection="1">
      <alignment horizontal="right"/>
    </xf>
    <xf numFmtId="6" fontId="10" fillId="42" borderId="122" xfId="30" applyNumberFormat="1" applyFont="1" applyFill="1" applyBorder="1" applyAlignment="1" applyProtection="1">
      <alignment horizontal="right"/>
    </xf>
    <xf numFmtId="6" fontId="10" fillId="42" borderId="125" xfId="30" applyNumberFormat="1" applyFont="1" applyFill="1" applyBorder="1" applyAlignment="1" applyProtection="1">
      <alignment horizontal="right"/>
    </xf>
    <xf numFmtId="6" fontId="10" fillId="42" borderId="122" xfId="0" applyNumberFormat="1" applyFont="1" applyFill="1" applyBorder="1" applyAlignment="1" applyProtection="1">
      <alignment horizontal="right"/>
    </xf>
    <xf numFmtId="6" fontId="10" fillId="42" borderId="125" xfId="0" applyNumberFormat="1" applyFont="1" applyFill="1" applyBorder="1" applyAlignment="1" applyProtection="1">
      <alignment horizontal="right"/>
    </xf>
    <xf numFmtId="6" fontId="10" fillId="42" borderId="118" xfId="0" applyNumberFormat="1" applyFont="1" applyFill="1" applyBorder="1" applyAlignment="1" applyProtection="1">
      <alignment horizontal="right"/>
    </xf>
    <xf numFmtId="6" fontId="10" fillId="42" borderId="129" xfId="0" applyNumberFormat="1" applyFont="1" applyFill="1" applyBorder="1" applyAlignment="1" applyProtection="1">
      <alignment horizontal="right"/>
    </xf>
    <xf numFmtId="6" fontId="27" fillId="42" borderId="83" xfId="30" applyNumberFormat="1" applyFont="1" applyFill="1" applyBorder="1" applyAlignment="1" applyProtection="1">
      <alignment horizontal="right"/>
    </xf>
    <xf numFmtId="166" fontId="8" fillId="42" borderId="118" xfId="30" applyNumberFormat="1" applyFont="1" applyFill="1" applyBorder="1" applyAlignment="1" applyProtection="1">
      <alignment horizontal="right"/>
    </xf>
    <xf numFmtId="6" fontId="10" fillId="43" borderId="117" xfId="0" applyNumberFormat="1" applyFont="1" applyFill="1" applyBorder="1" applyAlignment="1" applyProtection="1">
      <alignment horizontal="right"/>
    </xf>
    <xf numFmtId="6" fontId="10" fillId="43" borderId="121" xfId="0" applyNumberFormat="1" applyFont="1" applyFill="1" applyBorder="1" applyAlignment="1" applyProtection="1">
      <alignment horizontal="right"/>
    </xf>
    <xf numFmtId="6" fontId="10" fillId="43" borderId="124" xfId="0" applyNumberFormat="1" applyFont="1" applyFill="1" applyBorder="1" applyAlignment="1" applyProtection="1">
      <alignment horizontal="right"/>
    </xf>
    <xf numFmtId="6" fontId="10" fillId="43" borderId="128" xfId="0" applyNumberFormat="1" applyFont="1" applyFill="1" applyBorder="1" applyAlignment="1" applyProtection="1">
      <alignment horizontal="right"/>
    </xf>
    <xf numFmtId="6" fontId="27" fillId="43" borderId="82" xfId="30" applyNumberFormat="1" applyFont="1" applyFill="1" applyBorder="1" applyAlignment="1" applyProtection="1">
      <alignment horizontal="right"/>
    </xf>
    <xf numFmtId="0" fontId="8" fillId="0" borderId="208" xfId="53" applyFont="1" applyFill="1" applyBorder="1" applyProtection="1"/>
    <xf numFmtId="0" fontId="8" fillId="0" borderId="39" xfId="53" applyFont="1" applyFill="1" applyBorder="1" applyProtection="1"/>
    <xf numFmtId="5" fontId="15" fillId="0" borderId="209" xfId="0" applyNumberFormat="1" applyFont="1" applyFill="1" applyBorder="1" applyProtection="1"/>
    <xf numFmtId="49" fontId="27" fillId="42" borderId="10" xfId="53" applyNumberFormat="1" applyFont="1" applyFill="1" applyBorder="1" applyAlignment="1">
      <alignment horizontal="center" vertical="center" wrapText="1"/>
    </xf>
    <xf numFmtId="49" fontId="27" fillId="43" borderId="13" xfId="53" applyNumberFormat="1" applyFont="1" applyFill="1" applyBorder="1" applyAlignment="1">
      <alignment horizontal="center" vertical="center" wrapText="1"/>
    </xf>
    <xf numFmtId="49" fontId="27" fillId="43" borderId="10" xfId="53" applyNumberFormat="1" applyFont="1" applyFill="1" applyBorder="1" applyAlignment="1">
      <alignment horizontal="center" vertical="center" wrapText="1"/>
    </xf>
    <xf numFmtId="6" fontId="10" fillId="0" borderId="13" xfId="0" applyNumberFormat="1" applyFont="1" applyFill="1" applyBorder="1" applyProtection="1"/>
    <xf numFmtId="3" fontId="8" fillId="41" borderId="39" xfId="53" applyNumberFormat="1" applyFont="1" applyFill="1" applyBorder="1" applyAlignment="1" applyProtection="1">
      <alignment horizontal="right"/>
    </xf>
    <xf numFmtId="0" fontId="8" fillId="0" borderId="211" xfId="53" applyFont="1" applyFill="1" applyBorder="1" applyProtection="1"/>
    <xf numFmtId="0" fontId="8" fillId="0" borderId="212" xfId="53" applyFont="1" applyFill="1" applyBorder="1" applyProtection="1"/>
    <xf numFmtId="3" fontId="8" fillId="41" borderId="212" xfId="53" applyNumberFormat="1" applyFont="1" applyFill="1" applyBorder="1" applyAlignment="1" applyProtection="1">
      <alignment horizontal="right"/>
    </xf>
    <xf numFmtId="166" fontId="8" fillId="0" borderId="213" xfId="53" applyNumberFormat="1" applyFont="1" applyFill="1" applyBorder="1" applyAlignment="1" applyProtection="1">
      <alignment horizontal="right"/>
    </xf>
    <xf numFmtId="166" fontId="8" fillId="41" borderId="210" xfId="53" applyNumberFormat="1" applyFont="1" applyFill="1" applyBorder="1" applyAlignment="1" applyProtection="1">
      <alignment horizontal="right"/>
    </xf>
    <xf numFmtId="6" fontId="8" fillId="41" borderId="210" xfId="53" applyNumberFormat="1" applyFont="1" applyFill="1" applyBorder="1" applyAlignment="1" applyProtection="1">
      <alignment horizontal="right"/>
    </xf>
    <xf numFmtId="166" fontId="8" fillId="42" borderId="213" xfId="53" applyNumberFormat="1" applyFont="1" applyFill="1" applyBorder="1" applyAlignment="1" applyProtection="1">
      <alignment horizontal="right"/>
    </xf>
    <xf numFmtId="6" fontId="8" fillId="42" borderId="118" xfId="53" applyNumberFormat="1" applyFont="1" applyFill="1" applyBorder="1" applyAlignment="1" applyProtection="1">
      <alignment horizontal="right"/>
    </xf>
    <xf numFmtId="6" fontId="27" fillId="42" borderId="83" xfId="54" applyNumberFormat="1" applyFont="1" applyFill="1" applyBorder="1" applyAlignment="1" applyProtection="1">
      <alignment horizontal="right"/>
    </xf>
    <xf numFmtId="6" fontId="8" fillId="42" borderId="118" xfId="54" applyNumberFormat="1" applyFont="1" applyFill="1" applyBorder="1" applyAlignment="1" applyProtection="1">
      <alignment horizontal="right"/>
    </xf>
    <xf numFmtId="6" fontId="8" fillId="43" borderId="117" xfId="53" applyNumberFormat="1" applyFont="1" applyFill="1" applyBorder="1" applyAlignment="1" applyProtection="1">
      <alignment horizontal="right"/>
    </xf>
    <xf numFmtId="6" fontId="27" fillId="43" borderId="82" xfId="54" applyNumberFormat="1" applyFont="1" applyFill="1" applyBorder="1" applyAlignment="1" applyProtection="1">
      <alignment horizontal="right"/>
    </xf>
    <xf numFmtId="5" fontId="15" fillId="0" borderId="80" xfId="0" applyNumberFormat="1" applyFont="1" applyFill="1" applyBorder="1" applyProtection="1"/>
    <xf numFmtId="6" fontId="0" fillId="0" borderId="74" xfId="0" applyNumberFormat="1" applyBorder="1"/>
    <xf numFmtId="6" fontId="10" fillId="41" borderId="74" xfId="0" applyNumberFormat="1" applyFont="1" applyFill="1" applyBorder="1" applyProtection="1"/>
    <xf numFmtId="0" fontId="60" fillId="39" borderId="35" xfId="0" applyFont="1" applyFill="1" applyBorder="1" applyAlignment="1">
      <alignment horizontal="left" wrapText="1"/>
    </xf>
    <xf numFmtId="5" fontId="15" fillId="41" borderId="203" xfId="0" applyNumberFormat="1" applyFont="1" applyFill="1" applyBorder="1" applyProtection="1"/>
    <xf numFmtId="3" fontId="75" fillId="41" borderId="13" xfId="0" applyNumberFormat="1" applyFont="1" applyFill="1" applyBorder="1"/>
    <xf numFmtId="0" fontId="98" fillId="0" borderId="26" xfId="0" applyFont="1" applyBorder="1" applyAlignment="1">
      <alignment horizontal="left" wrapText="1"/>
    </xf>
    <xf numFmtId="0" fontId="100" fillId="0" borderId="26" xfId="0" applyFont="1" applyBorder="1" applyAlignment="1">
      <alignment horizontal="left" wrapText="1"/>
    </xf>
    <xf numFmtId="3" fontId="75" fillId="0" borderId="13" xfId="0" applyNumberFormat="1" applyFont="1" applyFill="1" applyBorder="1"/>
    <xf numFmtId="6" fontId="75" fillId="0" borderId="13" xfId="0" applyNumberFormat="1" applyFont="1" applyBorder="1"/>
    <xf numFmtId="6" fontId="75" fillId="27" borderId="13" xfId="0" applyNumberFormat="1" applyFont="1" applyFill="1" applyBorder="1"/>
    <xf numFmtId="6" fontId="75" fillId="0" borderId="13" xfId="0" applyNumberFormat="1" applyFont="1" applyBorder="1" applyAlignment="1">
      <alignment horizontal="center" wrapText="1"/>
    </xf>
    <xf numFmtId="6" fontId="75" fillId="27" borderId="13" xfId="0" applyNumberFormat="1" applyFont="1" applyFill="1" applyBorder="1" applyAlignment="1">
      <alignment horizontal="center"/>
    </xf>
    <xf numFmtId="0" fontId="98" fillId="49" borderId="42" xfId="0" applyFont="1" applyFill="1" applyBorder="1" applyAlignment="1">
      <alignment horizontal="right"/>
    </xf>
    <xf numFmtId="0" fontId="98" fillId="0" borderId="13" xfId="0" applyFont="1" applyBorder="1" applyAlignment="1">
      <alignment wrapText="1"/>
    </xf>
    <xf numFmtId="0" fontId="75" fillId="0" borderId="13" xfId="0" applyFont="1" applyBorder="1" applyAlignment="1">
      <alignment wrapText="1"/>
    </xf>
    <xf numFmtId="0" fontId="98" fillId="0" borderId="0" xfId="0" applyFont="1"/>
    <xf numFmtId="0" fontId="121" fillId="0" borderId="0" xfId="0" applyFont="1" applyAlignment="1">
      <alignment horizontal="center" wrapText="1"/>
    </xf>
    <xf numFmtId="0" fontId="98" fillId="0" borderId="0" xfId="0" applyFont="1" applyFill="1"/>
    <xf numFmtId="0" fontId="121" fillId="0" borderId="0" xfId="0" quotePrefix="1" applyFont="1" applyFill="1" applyAlignment="1">
      <alignment horizontal="center" wrapText="1"/>
    </xf>
    <xf numFmtId="0" fontId="121" fillId="0" borderId="0" xfId="0" quotePrefix="1" applyFont="1" applyAlignment="1">
      <alignment horizontal="center" wrapText="1"/>
    </xf>
    <xf numFmtId="0" fontId="124" fillId="53" borderId="10" xfId="0" applyFont="1" applyFill="1" applyBorder="1" applyAlignment="1">
      <alignment horizontal="center" vertical="center" wrapText="1"/>
    </xf>
    <xf numFmtId="0" fontId="126" fillId="25" borderId="13" xfId="0" applyFont="1" applyFill="1" applyBorder="1" applyAlignment="1">
      <alignment horizontal="center" vertical="center" wrapText="1"/>
    </xf>
    <xf numFmtId="10" fontId="124" fillId="43" borderId="26" xfId="0" applyNumberFormat="1" applyFont="1" applyFill="1" applyBorder="1" applyAlignment="1">
      <alignment horizontal="center" vertical="center" wrapText="1"/>
    </xf>
    <xf numFmtId="0" fontId="98" fillId="26" borderId="26" xfId="0" applyFont="1" applyFill="1" applyBorder="1"/>
    <xf numFmtId="1" fontId="122" fillId="26" borderId="26" xfId="0" quotePrefix="1" applyNumberFormat="1" applyFont="1" applyFill="1" applyBorder="1" applyAlignment="1">
      <alignment horizontal="center"/>
    </xf>
    <xf numFmtId="6" fontId="75" fillId="41" borderId="13" xfId="0" applyNumberFormat="1" applyFont="1" applyFill="1" applyBorder="1" applyAlignment="1">
      <alignment horizontal="center"/>
    </xf>
    <xf numFmtId="0" fontId="120" fillId="28" borderId="51" xfId="0" applyFont="1" applyFill="1" applyBorder="1" applyAlignment="1">
      <alignment horizontal="center" wrapText="1"/>
    </xf>
    <xf numFmtId="6" fontId="75" fillId="41" borderId="13" xfId="0" applyNumberFormat="1" applyFont="1" applyFill="1" applyBorder="1"/>
    <xf numFmtId="8" fontId="75" fillId="27" borderId="13" xfId="0" applyNumberFormat="1" applyFont="1" applyFill="1" applyBorder="1"/>
    <xf numFmtId="0" fontId="98" fillId="49" borderId="42" xfId="0" applyFont="1" applyFill="1" applyBorder="1"/>
    <xf numFmtId="0" fontId="102" fillId="0" borderId="13" xfId="0" applyFont="1" applyBorder="1" applyAlignment="1">
      <alignment wrapText="1"/>
    </xf>
    <xf numFmtId="0" fontId="100" fillId="0" borderId="13" xfId="0" applyFont="1" applyBorder="1" applyAlignment="1">
      <alignment wrapText="1"/>
    </xf>
    <xf numFmtId="6" fontId="75" fillId="0" borderId="26" xfId="0" applyNumberFormat="1" applyFont="1" applyBorder="1"/>
    <xf numFmtId="6" fontId="75" fillId="41" borderId="26" xfId="0" applyNumberFormat="1" applyFont="1" applyFill="1" applyBorder="1"/>
    <xf numFmtId="6" fontId="75" fillId="27" borderId="26" xfId="0" applyNumberFormat="1" applyFont="1" applyFill="1" applyBorder="1"/>
    <xf numFmtId="8" fontId="75" fillId="41" borderId="26" xfId="0" applyNumberFormat="1" applyFont="1" applyFill="1" applyBorder="1"/>
    <xf numFmtId="0" fontId="98" fillId="49" borderId="0" xfId="0" applyFont="1" applyFill="1"/>
    <xf numFmtId="3" fontId="100" fillId="0" borderId="13" xfId="0" applyNumberFormat="1" applyFont="1" applyFill="1" applyBorder="1"/>
    <xf numFmtId="6" fontId="100" fillId="0" borderId="13" xfId="0" applyNumberFormat="1" applyFont="1" applyBorder="1"/>
    <xf numFmtId="6" fontId="100" fillId="0" borderId="13" xfId="0" applyNumberFormat="1" applyFont="1" applyFill="1" applyBorder="1"/>
    <xf numFmtId="6" fontId="100" fillId="41" borderId="26" xfId="0" applyNumberFormat="1" applyFont="1" applyFill="1" applyBorder="1"/>
    <xf numFmtId="6" fontId="100" fillId="27" borderId="26" xfId="0" applyNumberFormat="1" applyFont="1" applyFill="1" applyBorder="1"/>
    <xf numFmtId="0" fontId="102" fillId="0" borderId="0" xfId="0" applyFont="1"/>
    <xf numFmtId="3" fontId="100" fillId="27" borderId="13" xfId="0" applyNumberFormat="1" applyFont="1" applyFill="1" applyBorder="1"/>
    <xf numFmtId="6" fontId="100" fillId="0" borderId="26" xfId="0" applyNumberFormat="1" applyFont="1" applyBorder="1"/>
    <xf numFmtId="165" fontId="100" fillId="28" borderId="51" xfId="28" applyNumberFormat="1" applyFont="1" applyFill="1" applyBorder="1"/>
    <xf numFmtId="6" fontId="75" fillId="28" borderId="51" xfId="0" applyNumberFormat="1" applyFont="1" applyFill="1" applyBorder="1"/>
    <xf numFmtId="6" fontId="100" fillId="28" borderId="51" xfId="0" applyNumberFormat="1" applyFont="1" applyFill="1" applyBorder="1"/>
    <xf numFmtId="6" fontId="100" fillId="34" borderId="42" xfId="0" applyNumberFormat="1" applyFont="1" applyFill="1" applyBorder="1"/>
    <xf numFmtId="0" fontId="102" fillId="0" borderId="12" xfId="0" applyFont="1" applyBorder="1" applyAlignment="1">
      <alignment horizontal="right" wrapText="1"/>
    </xf>
    <xf numFmtId="0" fontId="129" fillId="0" borderId="12" xfId="0" applyFont="1" applyBorder="1" applyAlignment="1">
      <alignment horizontal="right" wrapText="1"/>
    </xf>
    <xf numFmtId="3" fontId="100" fillId="0" borderId="12" xfId="0" applyNumberFormat="1" applyFont="1" applyFill="1" applyBorder="1"/>
    <xf numFmtId="8" fontId="100" fillId="0" borderId="12" xfId="0" applyNumberFormat="1" applyFont="1" applyBorder="1"/>
    <xf numFmtId="166" fontId="100" fillId="0" borderId="12" xfId="0" applyNumberFormat="1" applyFont="1" applyBorder="1"/>
    <xf numFmtId="166" fontId="100" fillId="27" borderId="12" xfId="0" applyNumberFormat="1" applyFont="1" applyFill="1" applyBorder="1"/>
    <xf numFmtId="6" fontId="100" fillId="0" borderId="12" xfId="0" applyNumberFormat="1" applyFont="1" applyBorder="1"/>
    <xf numFmtId="166" fontId="100" fillId="41" borderId="12" xfId="0" applyNumberFormat="1" applyFont="1" applyFill="1" applyBorder="1"/>
    <xf numFmtId="0" fontId="102" fillId="0" borderId="0" xfId="0" applyFont="1" applyBorder="1" applyAlignment="1">
      <alignment wrapText="1"/>
    </xf>
    <xf numFmtId="3" fontId="98" fillId="0" borderId="0" xfId="0" applyNumberFormat="1" applyFont="1" applyFill="1" applyBorder="1"/>
    <xf numFmtId="8" fontId="98" fillId="0" borderId="0" xfId="0" applyNumberFormat="1" applyFont="1" applyBorder="1"/>
    <xf numFmtId="6" fontId="98" fillId="0" borderId="135" xfId="0" applyNumberFormat="1" applyFont="1" applyFill="1" applyBorder="1" applyAlignment="1">
      <alignment horizontal="center"/>
    </xf>
    <xf numFmtId="0" fontId="102" fillId="0" borderId="0" xfId="0" applyFont="1" applyBorder="1" applyAlignment="1">
      <alignment horizontal="left" wrapText="1"/>
    </xf>
    <xf numFmtId="0" fontId="130" fillId="0" borderId="0" xfId="0" applyFont="1" applyBorder="1" applyAlignment="1">
      <alignment wrapText="1"/>
    </xf>
    <xf numFmtId="0" fontId="130" fillId="0" borderId="0" xfId="0" applyFont="1" applyBorder="1" applyAlignment="1">
      <alignment horizontal="left" wrapText="1"/>
    </xf>
    <xf numFmtId="0" fontId="128" fillId="0" borderId="0" xfId="0" applyFont="1" applyAlignment="1">
      <alignment horizontal="left"/>
    </xf>
    <xf numFmtId="38" fontId="75" fillId="0" borderId="26" xfId="0" applyNumberFormat="1" applyFont="1" applyFill="1" applyBorder="1" applyAlignment="1">
      <alignment wrapText="1"/>
    </xf>
    <xf numFmtId="6" fontId="60" fillId="0" borderId="13" xfId="0" applyNumberFormat="1" applyFont="1" applyFill="1" applyBorder="1" applyAlignment="1">
      <alignment horizontal="right"/>
    </xf>
    <xf numFmtId="0" fontId="60" fillId="0" borderId="26" xfId="0" applyFont="1" applyFill="1" applyBorder="1" applyAlignment="1">
      <alignment horizontal="left" wrapText="1"/>
    </xf>
    <xf numFmtId="166" fontId="12" fillId="0" borderId="0" xfId="0" applyNumberFormat="1" applyFont="1"/>
    <xf numFmtId="6" fontId="12" fillId="0" borderId="0" xfId="0" applyNumberFormat="1" applyFont="1"/>
    <xf numFmtId="166" fontId="10" fillId="52" borderId="0" xfId="0" applyNumberFormat="1" applyFont="1" applyFill="1"/>
    <xf numFmtId="6" fontId="8" fillId="52" borderId="0" xfId="0" applyNumberFormat="1" applyFont="1" applyFill="1"/>
    <xf numFmtId="0" fontId="8" fillId="64" borderId="36" xfId="0" applyFont="1" applyFill="1" applyBorder="1"/>
    <xf numFmtId="6" fontId="10" fillId="64" borderId="42" xfId="0" applyNumberFormat="1" applyFont="1" applyFill="1" applyBorder="1"/>
    <xf numFmtId="6" fontId="29" fillId="41" borderId="0" xfId="0" applyNumberFormat="1" applyFont="1" applyFill="1" applyBorder="1" applyAlignment="1" applyProtection="1"/>
    <xf numFmtId="6" fontId="35" fillId="0" borderId="0" xfId="0" applyNumberFormat="1" applyFont="1" applyAlignment="1">
      <alignment horizontal="right"/>
    </xf>
    <xf numFmtId="6" fontId="35" fillId="0" borderId="0" xfId="0" applyNumberFormat="1" applyFont="1"/>
    <xf numFmtId="0" fontId="103" fillId="0" borderId="0" xfId="0" applyFont="1" applyAlignment="1">
      <alignment wrapText="1"/>
    </xf>
    <xf numFmtId="10" fontId="0" fillId="0" borderId="0" xfId="48" applyNumberFormat="1" applyFont="1" applyBorder="1" applyAlignment="1">
      <alignment wrapText="1"/>
    </xf>
    <xf numFmtId="38" fontId="0" fillId="0" borderId="0" xfId="0" applyNumberFormat="1" applyAlignment="1">
      <alignment wrapText="1"/>
    </xf>
    <xf numFmtId="171" fontId="0" fillId="0" borderId="0" xfId="0" applyNumberFormat="1" applyBorder="1" applyAlignment="1">
      <alignment wrapText="1"/>
    </xf>
    <xf numFmtId="165" fontId="0" fillId="0" borderId="0" xfId="28" applyNumberFormat="1" applyFont="1"/>
    <xf numFmtId="165" fontId="0" fillId="0" borderId="0" xfId="28" applyNumberFormat="1" applyFont="1" applyBorder="1" applyAlignment="1">
      <alignment wrapText="1"/>
    </xf>
    <xf numFmtId="5" fontId="12" fillId="65" borderId="11" xfId="0" applyNumberFormat="1" applyFont="1" applyFill="1" applyBorder="1" applyProtection="1"/>
    <xf numFmtId="0" fontId="98" fillId="49" borderId="0" xfId="0" applyFont="1" applyFill="1" applyBorder="1"/>
    <xf numFmtId="0" fontId="98" fillId="0" borderId="0" xfId="0" applyFont="1" applyBorder="1" applyAlignment="1">
      <alignment wrapText="1"/>
    </xf>
    <xf numFmtId="166" fontId="122" fillId="31" borderId="216" xfId="28" applyNumberFormat="1" applyFont="1" applyFill="1" applyBorder="1" applyAlignment="1">
      <alignment horizontal="center"/>
    </xf>
    <xf numFmtId="0" fontId="98" fillId="63" borderId="0" xfId="0" applyFont="1" applyFill="1" applyBorder="1"/>
    <xf numFmtId="0" fontId="131" fillId="0" borderId="0" xfId="0" applyFont="1" applyFill="1" applyBorder="1" applyAlignment="1">
      <alignment horizontal="center" vertical="center" wrapText="1"/>
    </xf>
    <xf numFmtId="0" fontId="131" fillId="0" borderId="14" xfId="0" applyFont="1" applyFill="1" applyBorder="1" applyAlignment="1">
      <alignment horizontal="center" vertical="center" wrapText="1"/>
    </xf>
    <xf numFmtId="166" fontId="8" fillId="27" borderId="11" xfId="0" applyNumberFormat="1" applyFont="1" applyFill="1" applyBorder="1"/>
    <xf numFmtId="166" fontId="8" fillId="27" borderId="13" xfId="0" applyNumberFormat="1" applyFont="1" applyFill="1" applyBorder="1"/>
    <xf numFmtId="0" fontId="11" fillId="31" borderId="0" xfId="0" applyFont="1" applyFill="1" applyBorder="1" applyAlignment="1">
      <alignment horizontal="center"/>
    </xf>
    <xf numFmtId="0" fontId="47" fillId="0" borderId="0" xfId="0" applyFont="1" applyAlignment="1"/>
    <xf numFmtId="0" fontId="36" fillId="0" borderId="33" xfId="0" applyFont="1" applyFill="1" applyBorder="1" applyAlignment="1">
      <alignment horizontal="center" vertical="center" wrapText="1"/>
    </xf>
    <xf numFmtId="8" fontId="10" fillId="0" borderId="0" xfId="0" applyNumberFormat="1" applyFont="1" applyFill="1"/>
    <xf numFmtId="3" fontId="10" fillId="41" borderId="11" xfId="0" applyNumberFormat="1" applyFont="1" applyFill="1" applyBorder="1" applyAlignment="1">
      <alignment horizontal="center"/>
    </xf>
    <xf numFmtId="169" fontId="10" fillId="41" borderId="11" xfId="48" applyNumberFormat="1" applyFont="1" applyFill="1" applyBorder="1"/>
    <xf numFmtId="166" fontId="10" fillId="41" borderId="45" xfId="0" applyNumberFormat="1" applyFont="1" applyFill="1" applyBorder="1"/>
    <xf numFmtId="10" fontId="10" fillId="41" borderId="45" xfId="0" applyNumberFormat="1" applyFont="1" applyFill="1" applyBorder="1"/>
    <xf numFmtId="6" fontId="10" fillId="41" borderId="45" xfId="32" applyNumberFormat="1" applyFont="1" applyFill="1" applyBorder="1"/>
    <xf numFmtId="6" fontId="10" fillId="41" borderId="11" xfId="0" applyNumberFormat="1" applyFont="1" applyFill="1" applyBorder="1"/>
    <xf numFmtId="166" fontId="10" fillId="41" borderId="11" xfId="28" applyNumberFormat="1" applyFont="1" applyFill="1" applyBorder="1"/>
    <xf numFmtId="165" fontId="10" fillId="41" borderId="11" xfId="28" applyNumberFormat="1" applyFont="1" applyFill="1" applyBorder="1"/>
    <xf numFmtId="6" fontId="10" fillId="41" borderId="11" xfId="28" applyNumberFormat="1" applyFont="1" applyFill="1" applyBorder="1"/>
    <xf numFmtId="3" fontId="10" fillId="41" borderId="0" xfId="0" applyNumberFormat="1" applyFont="1" applyFill="1"/>
    <xf numFmtId="0" fontId="0" fillId="0" borderId="0" xfId="0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27" fillId="25" borderId="10" xfId="0" applyFont="1" applyFill="1" applyBorder="1" applyAlignment="1">
      <alignment horizontal="center" vertical="center" wrapText="1"/>
    </xf>
    <xf numFmtId="49" fontId="27" fillId="42" borderId="10" xfId="53" applyNumberFormat="1" applyFont="1" applyFill="1" applyBorder="1" applyAlignment="1">
      <alignment horizontal="center" vertical="center" wrapText="1"/>
    </xf>
    <xf numFmtId="49" fontId="27" fillId="43" borderId="13" xfId="53" applyNumberFormat="1" applyFont="1" applyFill="1" applyBorder="1" applyAlignment="1">
      <alignment horizontal="center" vertical="center" wrapText="1"/>
    </xf>
    <xf numFmtId="49" fontId="27" fillId="43" borderId="10" xfId="53" applyNumberFormat="1" applyFont="1" applyFill="1" applyBorder="1" applyAlignment="1">
      <alignment horizontal="center" vertical="center" wrapText="1"/>
    </xf>
    <xf numFmtId="6" fontId="10" fillId="0" borderId="11" xfId="32" applyNumberFormat="1" applyFont="1" applyFill="1" applyBorder="1"/>
    <xf numFmtId="6" fontId="10" fillId="0" borderId="13" xfId="32" applyNumberFormat="1" applyFont="1" applyFill="1" applyBorder="1"/>
    <xf numFmtId="3" fontId="60" fillId="0" borderId="35" xfId="0" applyNumberFormat="1" applyFont="1" applyFill="1" applyBorder="1" applyAlignment="1">
      <alignment horizontal="right"/>
    </xf>
    <xf numFmtId="3" fontId="60" fillId="0" borderId="35" xfId="0" applyNumberFormat="1" applyFont="1" applyFill="1" applyBorder="1" applyAlignment="1">
      <alignment horizontal="right" wrapText="1"/>
    </xf>
    <xf numFmtId="0" fontId="8" fillId="0" borderId="14" xfId="53" applyBorder="1"/>
    <xf numFmtId="166" fontId="8" fillId="0" borderId="11" xfId="0" applyNumberFormat="1" applyFont="1" applyFill="1" applyBorder="1"/>
    <xf numFmtId="5" fontId="15" fillId="0" borderId="14" xfId="0" applyNumberFormat="1" applyFont="1" applyFill="1" applyBorder="1" applyProtection="1"/>
    <xf numFmtId="10" fontId="15" fillId="0" borderId="140" xfId="0" applyNumberFormat="1" applyFont="1" applyFill="1" applyBorder="1" applyProtection="1"/>
    <xf numFmtId="0" fontId="0" fillId="0" borderId="13" xfId="0" applyBorder="1"/>
    <xf numFmtId="166" fontId="21" fillId="43" borderId="26" xfId="0" applyNumberFormat="1" applyFont="1" applyFill="1" applyBorder="1" applyAlignment="1">
      <alignment horizontal="center" wrapText="1"/>
    </xf>
    <xf numFmtId="6" fontId="12" fillId="43" borderId="10" xfId="0" applyNumberFormat="1" applyFont="1" applyFill="1" applyBorder="1"/>
    <xf numFmtId="6" fontId="12" fillId="43" borderId="11" xfId="0" applyNumberFormat="1" applyFont="1" applyFill="1" applyBorder="1"/>
    <xf numFmtId="6" fontId="12" fillId="43" borderId="13" xfId="0" applyNumberFormat="1" applyFont="1" applyFill="1" applyBorder="1"/>
    <xf numFmtId="1" fontId="118" fillId="0" borderId="7" xfId="64" applyNumberFormat="1" applyFont="1" applyFill="1" applyBorder="1" applyAlignment="1">
      <alignment horizontal="right" wrapText="1"/>
    </xf>
    <xf numFmtId="5" fontId="23" fillId="0" borderId="222" xfId="0" applyNumberFormat="1" applyFont="1" applyFill="1" applyBorder="1" applyAlignment="1" applyProtection="1">
      <alignment horizontal="center"/>
    </xf>
    <xf numFmtId="5" fontId="23" fillId="0" borderId="222" xfId="0" applyNumberFormat="1" applyFont="1" applyFill="1" applyBorder="1" applyAlignment="1" applyProtection="1"/>
    <xf numFmtId="5" fontId="23" fillId="0" borderId="45" xfId="0" applyNumberFormat="1" applyFont="1" applyFill="1" applyBorder="1" applyAlignment="1" applyProtection="1"/>
    <xf numFmtId="0" fontId="13" fillId="0" borderId="14" xfId="0" quotePrefix="1" applyFont="1" applyFill="1" applyBorder="1" applyAlignment="1">
      <alignment horizontal="center"/>
    </xf>
    <xf numFmtId="0" fontId="13" fillId="0" borderId="80" xfId="0" applyFont="1" applyFill="1" applyBorder="1" applyAlignment="1">
      <alignment horizontal="left"/>
    </xf>
    <xf numFmtId="1" fontId="21" fillId="26" borderId="0" xfId="0" applyNumberFormat="1" applyFont="1" applyFill="1" applyBorder="1" applyAlignment="1" applyProtection="1">
      <alignment horizontal="center"/>
    </xf>
    <xf numFmtId="5" fontId="10" fillId="0" borderId="0" xfId="0" applyNumberFormat="1" applyFont="1" applyFill="1" applyBorder="1" applyProtection="1"/>
    <xf numFmtId="6" fontId="10" fillId="0" borderId="0" xfId="0" applyNumberFormat="1" applyFont="1" applyFill="1" applyBorder="1" applyProtection="1"/>
    <xf numFmtId="6" fontId="10" fillId="0" borderId="222" xfId="0" applyNumberFormat="1" applyFont="1" applyFill="1" applyBorder="1" applyProtection="1"/>
    <xf numFmtId="5" fontId="10" fillId="49" borderId="0" xfId="0" applyNumberFormat="1" applyFont="1" applyFill="1" applyBorder="1" applyProtection="1"/>
    <xf numFmtId="6" fontId="10" fillId="49" borderId="0" xfId="0" applyNumberFormat="1" applyFont="1" applyFill="1" applyBorder="1" applyProtection="1"/>
    <xf numFmtId="5" fontId="0" fillId="49" borderId="0" xfId="0" applyNumberFormat="1" applyFill="1"/>
    <xf numFmtId="5" fontId="111" fillId="49" borderId="0" xfId="0" applyNumberFormat="1" applyFont="1" applyFill="1" applyBorder="1" applyProtection="1"/>
    <xf numFmtId="0" fontId="0" fillId="0" borderId="0" xfId="0" applyFill="1" applyBorder="1" applyAlignment="1">
      <alignment wrapText="1"/>
    </xf>
    <xf numFmtId="0" fontId="27" fillId="0" borderId="222" xfId="0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 applyProtection="1">
      <alignment horizontal="center"/>
    </xf>
    <xf numFmtId="166" fontId="10" fillId="39" borderId="45" xfId="0" applyNumberFormat="1" applyFont="1" applyFill="1" applyBorder="1"/>
    <xf numFmtId="166" fontId="10" fillId="39" borderId="11" xfId="28" applyNumberFormat="1" applyFont="1" applyFill="1" applyBorder="1"/>
    <xf numFmtId="166" fontId="8" fillId="39" borderId="11" xfId="0" applyNumberFormat="1" applyFont="1" applyFill="1" applyBorder="1"/>
    <xf numFmtId="0" fontId="13" fillId="0" borderId="31" xfId="0" quotePrefix="1" applyFont="1" applyFill="1" applyBorder="1" applyAlignment="1">
      <alignment horizontal="center"/>
    </xf>
    <xf numFmtId="5" fontId="15" fillId="0" borderId="179" xfId="0" applyNumberFormat="1" applyFont="1" applyFill="1" applyBorder="1" applyAlignment="1" applyProtection="1">
      <alignment vertical="center"/>
    </xf>
    <xf numFmtId="5" fontId="15" fillId="0" borderId="177" xfId="0" applyNumberFormat="1" applyFont="1" applyFill="1" applyBorder="1" applyAlignment="1" applyProtection="1">
      <alignment vertical="center"/>
    </xf>
    <xf numFmtId="0" fontId="27" fillId="25" borderId="13" xfId="0" applyFont="1" applyFill="1" applyBorder="1" applyAlignment="1">
      <alignment horizontal="center" vertical="center" wrapText="1"/>
    </xf>
    <xf numFmtId="0" fontId="11" fillId="0" borderId="226" xfId="0" applyFont="1" applyFill="1" applyBorder="1" applyAlignment="1">
      <alignment horizontal="center" vertical="center"/>
    </xf>
    <xf numFmtId="0" fontId="27" fillId="25" borderId="26" xfId="0" applyFont="1" applyFill="1" applyBorder="1" applyAlignment="1">
      <alignment horizontal="center" vertical="center" wrapText="1"/>
    </xf>
    <xf numFmtId="38" fontId="75" fillId="49" borderId="13" xfId="0" applyNumberFormat="1" applyFont="1" applyFill="1" applyBorder="1" applyAlignment="1">
      <alignment wrapText="1"/>
    </xf>
    <xf numFmtId="1" fontId="108" fillId="26" borderId="219" xfId="53" applyNumberFormat="1" applyFont="1" applyFill="1" applyBorder="1" applyAlignment="1" applyProtection="1">
      <alignment horizontal="center"/>
    </xf>
    <xf numFmtId="0" fontId="27" fillId="25" borderId="13" xfId="0" applyFont="1" applyFill="1" applyBorder="1" applyAlignment="1">
      <alignment horizontal="center" vertical="center" wrapText="1"/>
    </xf>
    <xf numFmtId="49" fontId="27" fillId="43" borderId="13" xfId="53" applyNumberFormat="1" applyFont="1" applyFill="1" applyBorder="1" applyAlignment="1">
      <alignment horizontal="center" vertical="center" wrapText="1"/>
    </xf>
    <xf numFmtId="49" fontId="27" fillId="42" borderId="10" xfId="53" applyNumberFormat="1" applyFont="1" applyFill="1" applyBorder="1" applyAlignment="1">
      <alignment horizontal="center" vertical="center" wrapText="1"/>
    </xf>
    <xf numFmtId="49" fontId="27" fillId="43" borderId="10" xfId="53" applyNumberFormat="1" applyFont="1" applyFill="1" applyBorder="1" applyAlignment="1">
      <alignment horizontal="center" vertical="center" wrapText="1"/>
    </xf>
    <xf numFmtId="0" fontId="124" fillId="25" borderId="10" xfId="0" applyFont="1" applyFill="1" applyBorder="1" applyAlignment="1">
      <alignment horizontal="center" vertical="center" wrapText="1"/>
    </xf>
    <xf numFmtId="0" fontId="27" fillId="27" borderId="26" xfId="0" applyFont="1" applyFill="1" applyBorder="1" applyAlignment="1">
      <alignment horizontal="center" vertical="center" wrapText="1"/>
    </xf>
    <xf numFmtId="0" fontId="27" fillId="27" borderId="13" xfId="0" applyFont="1" applyFill="1" applyBorder="1" applyAlignment="1">
      <alignment horizontal="center" vertical="center" wrapText="1"/>
    </xf>
    <xf numFmtId="0" fontId="27" fillId="27" borderId="13" xfId="0" applyFont="1" applyFill="1" applyBorder="1" applyAlignment="1">
      <alignment horizontal="center" vertical="center" wrapText="1"/>
    </xf>
    <xf numFmtId="0" fontId="27" fillId="25" borderId="13" xfId="0" applyFont="1" applyFill="1" applyBorder="1" applyAlignment="1">
      <alignment horizontal="center" vertical="center" wrapText="1"/>
    </xf>
    <xf numFmtId="1" fontId="21" fillId="26" borderId="219" xfId="28" quotePrefix="1" applyNumberFormat="1" applyFont="1" applyFill="1" applyBorder="1" applyAlignment="1">
      <alignment horizontal="center"/>
    </xf>
    <xf numFmtId="15" fontId="10" fillId="29" borderId="219" xfId="0" applyNumberFormat="1" applyFont="1" applyFill="1" applyBorder="1" applyAlignment="1">
      <alignment horizontal="center"/>
    </xf>
    <xf numFmtId="3" fontId="10" fillId="0" borderId="223" xfId="0" applyNumberFormat="1" applyFont="1" applyBorder="1"/>
    <xf numFmtId="3" fontId="10" fillId="0" borderId="223" xfId="0" applyNumberFormat="1" applyFont="1" applyFill="1" applyBorder="1"/>
    <xf numFmtId="3" fontId="10" fillId="41" borderId="223" xfId="0" applyNumberFormat="1" applyFont="1" applyFill="1" applyBorder="1"/>
    <xf numFmtId="0" fontId="132" fillId="0" borderId="0" xfId="0" applyFont="1" applyFill="1" applyBorder="1" applyAlignment="1">
      <alignment wrapText="1"/>
    </xf>
    <xf numFmtId="1" fontId="21" fillId="26" borderId="219" xfId="28" applyNumberFormat="1" applyFont="1" applyFill="1" applyBorder="1" applyAlignment="1">
      <alignment horizontal="center"/>
    </xf>
    <xf numFmtId="0" fontId="27" fillId="25" borderId="13" xfId="0" applyFont="1" applyFill="1" applyBorder="1" applyAlignment="1">
      <alignment horizontal="center" vertical="center" wrapText="1"/>
    </xf>
    <xf numFmtId="0" fontId="3" fillId="0" borderId="0" xfId="70"/>
    <xf numFmtId="0" fontId="8" fillId="0" borderId="22" xfId="53" applyBorder="1" applyAlignment="1">
      <alignment horizontal="center"/>
    </xf>
    <xf numFmtId="0" fontId="78" fillId="0" borderId="22" xfId="45" applyFont="1" applyFill="1" applyBorder="1" applyAlignment="1">
      <alignment wrapText="1"/>
    </xf>
    <xf numFmtId="0" fontId="45" fillId="0" borderId="22" xfId="45" applyBorder="1"/>
    <xf numFmtId="0" fontId="78" fillId="0" borderId="22" xfId="45" applyFont="1" applyFill="1" applyBorder="1" applyAlignment="1">
      <alignment horizontal="right" wrapText="1"/>
    </xf>
    <xf numFmtId="165" fontId="0" fillId="0" borderId="0" xfId="73" applyNumberFormat="1" applyFont="1"/>
    <xf numFmtId="3" fontId="140" fillId="0" borderId="0" xfId="72" applyNumberFormat="1" applyFont="1" applyFill="1" applyBorder="1" applyAlignment="1">
      <alignment horizontal="center" wrapText="1"/>
    </xf>
    <xf numFmtId="165" fontId="141" fillId="0" borderId="0" xfId="73" applyNumberFormat="1" applyFont="1"/>
    <xf numFmtId="3" fontId="141" fillId="0" borderId="0" xfId="70" applyNumberFormat="1" applyFont="1"/>
    <xf numFmtId="3" fontId="3" fillId="0" borderId="0" xfId="70" applyNumberFormat="1"/>
    <xf numFmtId="0" fontId="140" fillId="0" borderId="0" xfId="72" applyFont="1" applyFill="1" applyBorder="1" applyAlignment="1">
      <alignment horizontal="center" wrapText="1"/>
    </xf>
    <xf numFmtId="0" fontId="142" fillId="0" borderId="0" xfId="72" applyFont="1" applyFill="1" applyBorder="1" applyAlignment="1">
      <alignment horizontal="center" wrapText="1"/>
    </xf>
    <xf numFmtId="0" fontId="27" fillId="43" borderId="10" xfId="0" applyFont="1" applyFill="1" applyBorder="1" applyAlignment="1">
      <alignment horizontal="center" vertical="center" wrapText="1"/>
    </xf>
    <xf numFmtId="0" fontId="3" fillId="41" borderId="0" xfId="70" applyFill="1"/>
    <xf numFmtId="0" fontId="38" fillId="0" borderId="221" xfId="0" quotePrefix="1" applyFont="1" applyBorder="1" applyAlignment="1">
      <alignment horizontal="center" vertical="center" wrapText="1"/>
    </xf>
    <xf numFmtId="0" fontId="143" fillId="0" borderId="0" xfId="53" quotePrefix="1" applyFont="1" applyBorder="1" applyAlignment="1">
      <alignment wrapText="1"/>
    </xf>
    <xf numFmtId="0" fontId="52" fillId="0" borderId="0" xfId="53" applyFont="1" applyBorder="1" applyAlignment="1"/>
    <xf numFmtId="0" fontId="144" fillId="0" borderId="0" xfId="53" applyFont="1" applyFill="1" applyBorder="1" applyAlignment="1">
      <alignment horizontal="center"/>
    </xf>
    <xf numFmtId="0" fontId="114" fillId="0" borderId="0" xfId="53" applyFont="1" applyBorder="1" applyAlignment="1">
      <alignment horizontal="center"/>
    </xf>
    <xf numFmtId="0" fontId="114" fillId="0" borderId="0" xfId="53" applyFont="1" applyFill="1" applyBorder="1" applyAlignment="1">
      <alignment horizontal="center"/>
    </xf>
    <xf numFmtId="0" fontId="8" fillId="26" borderId="13" xfId="53" applyFont="1" applyFill="1" applyBorder="1" applyAlignment="1">
      <alignment horizontal="center" vertical="center"/>
    </xf>
    <xf numFmtId="0" fontId="8" fillId="26" borderId="219" xfId="53" applyFont="1" applyFill="1" applyBorder="1" applyAlignment="1">
      <alignment horizontal="center" vertical="center" wrapText="1"/>
    </xf>
    <xf numFmtId="0" fontId="48" fillId="25" borderId="219" xfId="53" quotePrefix="1" applyFont="1" applyFill="1" applyBorder="1" applyAlignment="1">
      <alignment horizontal="left" wrapText="1"/>
    </xf>
    <xf numFmtId="38" fontId="114" fillId="41" borderId="219" xfId="53" applyNumberFormat="1" applyFont="1" applyFill="1" applyBorder="1" applyAlignment="1">
      <alignment horizontal="right"/>
    </xf>
    <xf numFmtId="6" fontId="114" fillId="41" borderId="219" xfId="53" applyNumberFormat="1" applyFont="1" applyFill="1" applyBorder="1" applyAlignment="1">
      <alignment horizontal="right"/>
    </xf>
    <xf numFmtId="6" fontId="114" fillId="0" borderId="219" xfId="53" applyNumberFormat="1" applyFont="1" applyBorder="1" applyAlignment="1">
      <alignment horizontal="right"/>
    </xf>
    <xf numFmtId="6" fontId="114" fillId="0" borderId="219" xfId="53" applyNumberFormat="1" applyFont="1" applyBorder="1" applyAlignment="1">
      <alignment horizontal="right" wrapText="1"/>
    </xf>
    <xf numFmtId="6" fontId="114" fillId="0" borderId="219" xfId="53" applyNumberFormat="1" applyFont="1" applyFill="1" applyBorder="1" applyAlignment="1">
      <alignment horizontal="right"/>
    </xf>
    <xf numFmtId="0" fontId="48" fillId="25" borderId="219" xfId="53" applyFont="1" applyFill="1" applyBorder="1" applyAlignment="1">
      <alignment wrapText="1"/>
    </xf>
    <xf numFmtId="0" fontId="48" fillId="43" borderId="219" xfId="53" applyFont="1" applyFill="1" applyBorder="1" applyAlignment="1">
      <alignment wrapText="1"/>
    </xf>
    <xf numFmtId="38" fontId="114" fillId="0" borderId="219" xfId="53" applyNumberFormat="1" applyFont="1" applyFill="1" applyBorder="1" applyAlignment="1">
      <alignment horizontal="right"/>
    </xf>
    <xf numFmtId="38" fontId="72" fillId="0" borderId="219" xfId="53" applyNumberFormat="1" applyFont="1" applyBorder="1" applyAlignment="1">
      <alignment horizontal="right"/>
    </xf>
    <xf numFmtId="6" fontId="72" fillId="0" borderId="219" xfId="53" applyNumberFormat="1" applyFont="1" applyBorder="1" applyAlignment="1">
      <alignment horizontal="right"/>
    </xf>
    <xf numFmtId="6" fontId="72" fillId="0" borderId="219" xfId="53" applyNumberFormat="1" applyFont="1" applyFill="1" applyBorder="1" applyAlignment="1">
      <alignment horizontal="right"/>
    </xf>
    <xf numFmtId="0" fontId="108" fillId="0" borderId="0" xfId="53" quotePrefix="1" applyFont="1" applyFill="1" applyBorder="1" applyAlignment="1">
      <alignment horizontal="left" wrapText="1"/>
    </xf>
    <xf numFmtId="6" fontId="72" fillId="0" borderId="0" xfId="53" applyNumberFormat="1" applyFont="1" applyBorder="1" applyAlignment="1">
      <alignment horizontal="right"/>
    </xf>
    <xf numFmtId="38" fontId="72" fillId="0" borderId="0" xfId="53" applyNumberFormat="1" applyFont="1" applyBorder="1" applyAlignment="1">
      <alignment horizontal="right"/>
    </xf>
    <xf numFmtId="6" fontId="114" fillId="0" borderId="0" xfId="53" applyNumberFormat="1" applyFont="1" applyBorder="1" applyAlignment="1">
      <alignment horizontal="right"/>
    </xf>
    <xf numFmtId="0" fontId="48" fillId="25" borderId="219" xfId="53" applyFont="1" applyFill="1" applyBorder="1" applyAlignment="1">
      <alignment horizontal="left" wrapText="1"/>
    </xf>
    <xf numFmtId="0" fontId="48" fillId="25" borderId="219" xfId="53" applyFont="1" applyFill="1" applyBorder="1" applyAlignment="1">
      <alignment horizontal="right" wrapText="1"/>
    </xf>
    <xf numFmtId="6" fontId="12" fillId="0" borderId="0" xfId="53" applyNumberFormat="1" applyFont="1" applyBorder="1" applyAlignment="1">
      <alignment horizontal="right"/>
    </xf>
    <xf numFmtId="38" fontId="12" fillId="0" borderId="0" xfId="53" applyNumberFormat="1" applyFont="1" applyBorder="1" applyAlignment="1">
      <alignment horizontal="right"/>
    </xf>
    <xf numFmtId="6" fontId="60" fillId="0" borderId="0" xfId="53" applyNumberFormat="1" applyFont="1" applyFill="1" applyBorder="1" applyAlignment="1">
      <alignment horizontal="center"/>
    </xf>
    <xf numFmtId="6" fontId="8" fillId="0" borderId="0" xfId="53" applyNumberFormat="1" applyFont="1" applyBorder="1" applyAlignment="1"/>
    <xf numFmtId="6" fontId="8" fillId="0" borderId="0" xfId="53" applyNumberFormat="1" applyFont="1" applyFill="1" applyBorder="1" applyAlignment="1">
      <alignment horizontal="center"/>
    </xf>
    <xf numFmtId="0" fontId="12" fillId="0" borderId="0" xfId="53" applyFont="1" applyFill="1" applyBorder="1" applyAlignment="1">
      <alignment horizontal="left"/>
    </xf>
    <xf numFmtId="0" fontId="12" fillId="0" borderId="0" xfId="53" applyFont="1" applyBorder="1"/>
    <xf numFmtId="6" fontId="12" fillId="0" borderId="0" xfId="53" applyNumberFormat="1" applyFont="1" applyFill="1" applyBorder="1" applyAlignment="1">
      <alignment horizontal="right"/>
    </xf>
    <xf numFmtId="38" fontId="12" fillId="0" borderId="0" xfId="53" applyNumberFormat="1" applyFont="1" applyFill="1" applyBorder="1" applyAlignment="1">
      <alignment horizontal="right"/>
    </xf>
    <xf numFmtId="0" fontId="8" fillId="0" borderId="0" xfId="53" applyFont="1" applyFill="1" applyBorder="1"/>
    <xf numFmtId="0" fontId="8" fillId="0" borderId="0" xfId="53" applyFont="1" applyBorder="1"/>
    <xf numFmtId="6" fontId="8" fillId="0" borderId="0" xfId="53" applyNumberFormat="1" applyFont="1" applyBorder="1"/>
    <xf numFmtId="0" fontId="27" fillId="25" borderId="221" xfId="0" applyFont="1" applyFill="1" applyBorder="1" applyAlignment="1">
      <alignment horizontal="center" vertical="center" wrapText="1"/>
    </xf>
    <xf numFmtId="0" fontId="0" fillId="26" borderId="219" xfId="0" applyFill="1" applyBorder="1"/>
    <xf numFmtId="1" fontId="21" fillId="26" borderId="219" xfId="0" quotePrefix="1" applyNumberFormat="1" applyFont="1" applyFill="1" applyBorder="1" applyAlignment="1">
      <alignment horizontal="center"/>
    </xf>
    <xf numFmtId="3" fontId="0" fillId="68" borderId="13" xfId="0" applyNumberFormat="1" applyFill="1" applyBorder="1"/>
    <xf numFmtId="0" fontId="12" fillId="0" borderId="223" xfId="0" applyFont="1" applyBorder="1" applyAlignment="1">
      <alignment horizontal="left" wrapText="1"/>
    </xf>
    <xf numFmtId="0" fontId="27" fillId="0" borderId="217" xfId="0" applyFont="1" applyBorder="1"/>
    <xf numFmtId="37" fontId="27" fillId="0" borderId="217" xfId="28" applyNumberFormat="1" applyFont="1" applyBorder="1"/>
    <xf numFmtId="8" fontId="27" fillId="0" borderId="217" xfId="0" applyNumberFormat="1" applyFont="1" applyBorder="1"/>
    <xf numFmtId="6" fontId="27" fillId="0" borderId="217" xfId="0" applyNumberFormat="1" applyFont="1" applyBorder="1"/>
    <xf numFmtId="6" fontId="27" fillId="27" borderId="217" xfId="0" applyNumberFormat="1" applyFont="1" applyFill="1" applyBorder="1"/>
    <xf numFmtId="5" fontId="15" fillId="0" borderId="227" xfId="0" applyNumberFormat="1" applyFont="1" applyFill="1" applyBorder="1" applyAlignment="1" applyProtection="1">
      <alignment vertical="center"/>
    </xf>
    <xf numFmtId="5" fontId="15" fillId="0" borderId="228" xfId="0" applyNumberFormat="1" applyFont="1" applyFill="1" applyBorder="1" applyAlignment="1" applyProtection="1">
      <alignment vertical="center"/>
    </xf>
    <xf numFmtId="10" fontId="21" fillId="27" borderId="26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27" fillId="25" borderId="221" xfId="65" applyFont="1" applyFill="1" applyBorder="1" applyAlignment="1" applyProtection="1">
      <alignment vertical="center" wrapText="1"/>
    </xf>
    <xf numFmtId="0" fontId="27" fillId="25" borderId="221" xfId="65" applyFont="1" applyFill="1" applyBorder="1" applyAlignment="1" applyProtection="1">
      <alignment horizontal="center" vertical="center" wrapText="1"/>
    </xf>
    <xf numFmtId="0" fontId="27" fillId="27" borderId="221" xfId="65" applyFont="1" applyFill="1" applyBorder="1" applyAlignment="1">
      <alignment horizontal="center" vertical="center" wrapText="1"/>
    </xf>
    <xf numFmtId="0" fontId="27" fillId="29" borderId="221" xfId="65" applyFont="1" applyFill="1" applyBorder="1" applyAlignment="1">
      <alignment horizontal="center" vertical="center" wrapText="1"/>
    </xf>
    <xf numFmtId="0" fontId="8" fillId="0" borderId="0" xfId="65"/>
    <xf numFmtId="0" fontId="27" fillId="25" borderId="13" xfId="65" applyFont="1" applyFill="1" applyBorder="1" applyAlignment="1" applyProtection="1">
      <alignment vertical="center"/>
    </xf>
    <xf numFmtId="166" fontId="21" fillId="27" borderId="219" xfId="65" applyNumberFormat="1" applyFont="1" applyFill="1" applyBorder="1" applyAlignment="1">
      <alignment horizontal="center" wrapText="1"/>
    </xf>
    <xf numFmtId="166" fontId="21" fillId="29" borderId="219" xfId="65" applyNumberFormat="1" applyFont="1" applyFill="1" applyBorder="1" applyAlignment="1">
      <alignment horizontal="center" wrapText="1"/>
    </xf>
    <xf numFmtId="1" fontId="8" fillId="26" borderId="60" xfId="65" applyNumberFormat="1" applyFont="1" applyFill="1" applyBorder="1" applyProtection="1"/>
    <xf numFmtId="1" fontId="12" fillId="26" borderId="68" xfId="65" applyNumberFormat="1" applyFont="1" applyFill="1" applyBorder="1" applyProtection="1"/>
    <xf numFmtId="1" fontId="21" fillId="26" borderId="73" xfId="65" quotePrefix="1" applyNumberFormat="1" applyFont="1" applyFill="1" applyBorder="1" applyAlignment="1" applyProtection="1">
      <alignment horizontal="center"/>
    </xf>
    <xf numFmtId="0" fontId="8" fillId="0" borderId="39" xfId="65" applyFont="1" applyFill="1" applyBorder="1" applyProtection="1"/>
    <xf numFmtId="0" fontId="8" fillId="0" borderId="69" xfId="65" applyFont="1" applyFill="1" applyBorder="1" applyProtection="1"/>
    <xf numFmtId="37" fontId="8" fillId="0" borderId="223" xfId="28" applyNumberFormat="1" applyFont="1" applyFill="1" applyBorder="1" applyProtection="1"/>
    <xf numFmtId="5" fontId="12" fillId="0" borderId="223" xfId="65" applyNumberFormat="1" applyFont="1" applyFill="1" applyBorder="1" applyProtection="1"/>
    <xf numFmtId="5" fontId="12" fillId="25" borderId="223" xfId="65" applyNumberFormat="1" applyFont="1" applyFill="1" applyBorder="1" applyProtection="1"/>
    <xf numFmtId="0" fontId="8" fillId="0" borderId="40" xfId="65" applyFont="1" applyFill="1" applyBorder="1" applyProtection="1"/>
    <xf numFmtId="0" fontId="8" fillId="0" borderId="70" xfId="65" applyFont="1" applyFill="1" applyBorder="1" applyProtection="1"/>
    <xf numFmtId="37" fontId="8" fillId="0" borderId="13" xfId="28" applyNumberFormat="1" applyFont="1" applyFill="1" applyBorder="1" applyProtection="1"/>
    <xf numFmtId="5" fontId="12" fillId="0" borderId="72" xfId="65" applyNumberFormat="1" applyFont="1" applyFill="1" applyBorder="1" applyProtection="1"/>
    <xf numFmtId="5" fontId="12" fillId="25" borderId="72" xfId="65" applyNumberFormat="1" applyFont="1" applyFill="1" applyBorder="1" applyProtection="1"/>
    <xf numFmtId="37" fontId="8" fillId="0" borderId="72" xfId="28" applyNumberFormat="1" applyFont="1" applyFill="1" applyBorder="1" applyProtection="1"/>
    <xf numFmtId="0" fontId="8" fillId="0" borderId="47" xfId="65" applyFont="1" applyFill="1" applyBorder="1" applyProtection="1"/>
    <xf numFmtId="0" fontId="8" fillId="0" borderId="71" xfId="65" applyFont="1" applyFill="1" applyBorder="1" applyProtection="1"/>
    <xf numFmtId="37" fontId="8" fillId="0" borderId="224" xfId="28" applyNumberFormat="1" applyFont="1" applyFill="1" applyBorder="1" applyProtection="1"/>
    <xf numFmtId="5" fontId="12" fillId="0" borderId="224" xfId="65" applyNumberFormat="1" applyFont="1" applyFill="1" applyBorder="1" applyProtection="1"/>
    <xf numFmtId="5" fontId="12" fillId="25" borderId="224" xfId="65" applyNumberFormat="1" applyFont="1" applyFill="1" applyBorder="1" applyProtection="1"/>
    <xf numFmtId="3" fontId="8" fillId="0" borderId="223" xfId="65" applyNumberFormat="1" applyFont="1" applyFill="1" applyBorder="1" applyAlignment="1">
      <alignment horizontal="right"/>
    </xf>
    <xf numFmtId="3" fontId="8" fillId="0" borderId="222" xfId="65" applyNumberFormat="1" applyFont="1" applyFill="1" applyBorder="1" applyAlignment="1">
      <alignment horizontal="left"/>
    </xf>
    <xf numFmtId="0" fontId="12" fillId="0" borderId="82" xfId="65" applyFont="1" applyFill="1" applyBorder="1" applyProtection="1"/>
    <xf numFmtId="0" fontId="27" fillId="0" borderId="220" xfId="65" applyFont="1" applyFill="1" applyBorder="1" applyAlignment="1" applyProtection="1">
      <alignment horizontal="center"/>
    </xf>
    <xf numFmtId="5" fontId="27" fillId="0" borderId="84" xfId="65" applyNumberFormat="1" applyFont="1" applyFill="1" applyBorder="1" applyProtection="1"/>
    <xf numFmtId="5" fontId="27" fillId="25" borderId="84" xfId="65" applyNumberFormat="1" applyFont="1" applyFill="1" applyBorder="1" applyProtection="1"/>
    <xf numFmtId="0" fontId="12" fillId="0" borderId="229" xfId="65" applyFont="1" applyFill="1" applyBorder="1" applyProtection="1"/>
    <xf numFmtId="0" fontId="8" fillId="0" borderId="229" xfId="65" applyFont="1" applyFill="1" applyBorder="1" applyAlignment="1" applyProtection="1">
      <alignment horizontal="left"/>
    </xf>
    <xf numFmtId="37" fontId="8" fillId="0" borderId="229" xfId="79" applyNumberFormat="1" applyFont="1" applyFill="1" applyBorder="1" applyProtection="1"/>
    <xf numFmtId="5" fontId="12" fillId="0" borderId="229" xfId="65" applyNumberFormat="1" applyFont="1" applyFill="1" applyBorder="1" applyProtection="1"/>
    <xf numFmtId="165" fontId="8" fillId="0" borderId="229" xfId="79" applyNumberFormat="1" applyFont="1" applyFill="1" applyBorder="1" applyProtection="1"/>
    <xf numFmtId="5" fontId="12" fillId="25" borderId="229" xfId="65" applyNumberFormat="1" applyFont="1" applyFill="1" applyBorder="1" applyProtection="1"/>
    <xf numFmtId="0" fontId="12" fillId="0" borderId="13" xfId="65" applyFont="1" applyFill="1" applyBorder="1" applyProtection="1"/>
    <xf numFmtId="0" fontId="8" fillId="0" borderId="13" xfId="65" applyFont="1" applyFill="1" applyBorder="1" applyAlignment="1" applyProtection="1">
      <alignment horizontal="left"/>
    </xf>
    <xf numFmtId="37" fontId="8" fillId="0" borderId="13" xfId="79" applyNumberFormat="1" applyFont="1" applyFill="1" applyBorder="1" applyProtection="1"/>
    <xf numFmtId="5" fontId="12" fillId="0" borderId="13" xfId="65" applyNumberFormat="1" applyFont="1" applyFill="1" applyBorder="1" applyProtection="1"/>
    <xf numFmtId="5" fontId="12" fillId="25" borderId="13" xfId="65" applyNumberFormat="1" applyFont="1" applyFill="1" applyBorder="1" applyProtection="1"/>
    <xf numFmtId="0" fontId="12" fillId="0" borderId="217" xfId="65" applyFont="1" applyFill="1" applyBorder="1" applyProtection="1"/>
    <xf numFmtId="0" fontId="27" fillId="0" borderId="217" xfId="65" applyFont="1" applyFill="1" applyBorder="1" applyAlignment="1" applyProtection="1">
      <alignment horizontal="center"/>
    </xf>
    <xf numFmtId="165" fontId="27" fillId="0" borderId="217" xfId="79" applyNumberFormat="1" applyFont="1" applyFill="1" applyBorder="1" applyProtection="1"/>
    <xf numFmtId="5" fontId="27" fillId="0" borderId="217" xfId="65" applyNumberFormat="1" applyFont="1" applyFill="1" applyBorder="1" applyProtection="1"/>
    <xf numFmtId="5" fontId="27" fillId="25" borderId="217" xfId="65" applyNumberFormat="1" applyFont="1" applyFill="1" applyBorder="1" applyProtection="1"/>
    <xf numFmtId="3" fontId="8" fillId="0" borderId="230" xfId="65" applyNumberFormat="1" applyFont="1" applyFill="1" applyBorder="1" applyAlignment="1">
      <alignment horizontal="center"/>
    </xf>
    <xf numFmtId="166" fontId="27" fillId="0" borderId="217" xfId="79" applyNumberFormat="1" applyFont="1" applyFill="1" applyBorder="1" applyProtection="1"/>
    <xf numFmtId="5" fontId="27" fillId="0" borderId="217" xfId="79" applyNumberFormat="1" applyFont="1" applyFill="1" applyBorder="1" applyProtection="1"/>
    <xf numFmtId="5" fontId="12" fillId="25" borderId="230" xfId="65" applyNumberFormat="1" applyFont="1" applyFill="1" applyBorder="1" applyProtection="1"/>
    <xf numFmtId="3" fontId="8" fillId="0" borderId="0" xfId="65" applyNumberFormat="1" applyFont="1" applyFill="1" applyBorder="1" applyAlignment="1">
      <alignment horizontal="center"/>
    </xf>
    <xf numFmtId="3" fontId="8" fillId="0" borderId="0" xfId="65" applyNumberFormat="1" applyFont="1" applyFill="1" applyBorder="1" applyAlignment="1">
      <alignment horizontal="left"/>
    </xf>
    <xf numFmtId="0" fontId="8" fillId="0" borderId="0" xfId="65" applyFont="1" applyBorder="1"/>
    <xf numFmtId="0" fontId="8" fillId="0" borderId="0" xfId="65" applyBorder="1"/>
    <xf numFmtId="0" fontId="12" fillId="0" borderId="0" xfId="65" applyFont="1" applyFill="1" applyBorder="1" applyProtection="1"/>
    <xf numFmtId="0" fontId="27" fillId="0" borderId="0" xfId="65" applyFont="1" applyFill="1" applyBorder="1" applyAlignment="1" applyProtection="1">
      <alignment horizontal="center"/>
    </xf>
    <xf numFmtId="0" fontId="8" fillId="0" borderId="0" xfId="65" applyFont="1"/>
    <xf numFmtId="165" fontId="15" fillId="0" borderId="233" xfId="28" applyNumberFormat="1" applyFont="1" applyFill="1" applyBorder="1" applyAlignment="1" applyProtection="1"/>
    <xf numFmtId="165" fontId="15" fillId="0" borderId="232" xfId="28" applyNumberFormat="1" applyFont="1" applyFill="1" applyBorder="1" applyAlignment="1" applyProtection="1"/>
    <xf numFmtId="0" fontId="13" fillId="0" borderId="231" xfId="0" quotePrefix="1" applyFont="1" applyFill="1" applyBorder="1" applyAlignment="1">
      <alignment horizontal="right"/>
    </xf>
    <xf numFmtId="0" fontId="13" fillId="0" borderId="232" xfId="0" applyFont="1" applyFill="1" applyBorder="1" applyAlignment="1">
      <alignment horizontal="left" indent="1"/>
    </xf>
    <xf numFmtId="0" fontId="12" fillId="0" borderId="0" xfId="0" quotePrefix="1" applyFont="1" applyAlignment="1">
      <alignment horizontal="center"/>
    </xf>
    <xf numFmtId="0" fontId="8" fillId="0" borderId="226" xfId="0" applyFont="1" applyBorder="1"/>
    <xf numFmtId="166" fontId="10" fillId="0" borderId="225" xfId="0" applyNumberFormat="1" applyFont="1" applyBorder="1"/>
    <xf numFmtId="8" fontId="75" fillId="0" borderId="13" xfId="0" applyNumberFormat="1" applyFont="1" applyBorder="1"/>
    <xf numFmtId="0" fontId="27" fillId="25" borderId="221" xfId="53" applyFont="1" applyFill="1" applyBorder="1" applyAlignment="1">
      <alignment horizontal="center" vertical="center" wrapText="1"/>
    </xf>
    <xf numFmtId="0" fontId="27" fillId="25" borderId="223" xfId="53" applyFont="1" applyFill="1" applyBorder="1" applyAlignment="1">
      <alignment horizontal="center" vertical="center" wrapText="1"/>
    </xf>
    <xf numFmtId="0" fontId="3" fillId="41" borderId="221" xfId="70" applyFill="1" applyBorder="1" applyAlignment="1">
      <alignment horizontal="center" wrapText="1"/>
    </xf>
    <xf numFmtId="0" fontId="27" fillId="29" borderId="223" xfId="53" applyFont="1" applyFill="1" applyBorder="1" applyAlignment="1">
      <alignment horizontal="center" vertical="center" wrapText="1"/>
    </xf>
    <xf numFmtId="0" fontId="139" fillId="67" borderId="234" xfId="71" applyFont="1" applyFill="1" applyBorder="1" applyAlignment="1">
      <alignment horizontal="center" wrapText="1"/>
    </xf>
    <xf numFmtId="0" fontId="139" fillId="0" borderId="228" xfId="71" applyFont="1" applyFill="1" applyBorder="1" applyAlignment="1">
      <alignment horizontal="center" wrapText="1"/>
    </xf>
    <xf numFmtId="0" fontId="139" fillId="0" borderId="227" xfId="71" applyFont="1" applyFill="1" applyBorder="1" applyAlignment="1">
      <alignment horizontal="center" wrapText="1"/>
    </xf>
    <xf numFmtId="0" fontId="78" fillId="0" borderId="19" xfId="45" applyFont="1" applyFill="1" applyBorder="1" applyAlignment="1">
      <alignment wrapText="1"/>
    </xf>
    <xf numFmtId="0" fontId="45" fillId="0" borderId="19" xfId="45" applyBorder="1"/>
    <xf numFmtId="0" fontId="149" fillId="63" borderId="0" xfId="70" applyFont="1" applyFill="1"/>
    <xf numFmtId="1" fontId="150" fillId="26" borderId="26" xfId="28" applyNumberFormat="1" applyFont="1" applyFill="1" applyBorder="1" applyAlignment="1">
      <alignment horizontal="center" vertical="center"/>
    </xf>
    <xf numFmtId="165" fontId="78" fillId="0" borderId="19" xfId="28" applyNumberFormat="1" applyFont="1" applyFill="1" applyBorder="1" applyAlignment="1">
      <alignment horizontal="right" wrapText="1"/>
    </xf>
    <xf numFmtId="165" fontId="45" fillId="0" borderId="19" xfId="28" applyNumberFormat="1" applyFont="1" applyBorder="1"/>
    <xf numFmtId="165" fontId="78" fillId="0" borderId="22" xfId="28" applyNumberFormat="1" applyFont="1" applyFill="1" applyBorder="1" applyAlignment="1">
      <alignment horizontal="right" wrapText="1"/>
    </xf>
    <xf numFmtId="165" fontId="45" fillId="0" borderId="22" xfId="28" applyNumberFormat="1" applyFont="1" applyBorder="1"/>
    <xf numFmtId="0" fontId="139" fillId="69" borderId="234" xfId="71" applyFont="1" applyFill="1" applyBorder="1" applyAlignment="1">
      <alignment horizontal="center" wrapText="1"/>
    </xf>
    <xf numFmtId="165" fontId="45" fillId="70" borderId="19" xfId="28" applyNumberFormat="1" applyFont="1" applyFill="1" applyBorder="1"/>
    <xf numFmtId="165" fontId="45" fillId="70" borderId="22" xfId="28" applyNumberFormat="1" applyFont="1" applyFill="1" applyBorder="1"/>
    <xf numFmtId="165" fontId="78" fillId="70" borderId="22" xfId="28" applyNumberFormat="1" applyFont="1" applyFill="1" applyBorder="1" applyAlignment="1">
      <alignment horizontal="right" wrapText="1"/>
    </xf>
    <xf numFmtId="0" fontId="3" fillId="70" borderId="0" xfId="70" applyFill="1"/>
    <xf numFmtId="3" fontId="141" fillId="70" borderId="0" xfId="70" applyNumberFormat="1" applyFont="1" applyFill="1"/>
    <xf numFmtId="165" fontId="3" fillId="41" borderId="0" xfId="70" applyNumberFormat="1" applyFill="1"/>
    <xf numFmtId="3" fontId="141" fillId="41" borderId="0" xfId="70" applyNumberFormat="1" applyFont="1" applyFill="1"/>
    <xf numFmtId="0" fontId="8" fillId="0" borderId="0" xfId="53" applyBorder="1" applyAlignment="1">
      <alignment horizontal="center" wrapText="1"/>
    </xf>
    <xf numFmtId="0" fontId="139" fillId="66" borderId="235" xfId="71" applyFont="1" applyFill="1" applyBorder="1" applyAlignment="1">
      <alignment horizontal="center" wrapText="1"/>
    </xf>
    <xf numFmtId="0" fontId="45" fillId="0" borderId="235" xfId="45" applyBorder="1"/>
    <xf numFmtId="0" fontId="78" fillId="0" borderId="235" xfId="45" applyFont="1" applyFill="1" applyBorder="1" applyAlignment="1">
      <alignment horizontal="right" wrapText="1"/>
    </xf>
    <xf numFmtId="0" fontId="139" fillId="0" borderId="235" xfId="71" applyFont="1" applyFill="1" applyBorder="1" applyAlignment="1">
      <alignment horizontal="center" wrapText="1"/>
    </xf>
    <xf numFmtId="0" fontId="137" fillId="0" borderId="0" xfId="70" applyFont="1" applyAlignment="1">
      <alignment horizontal="left"/>
    </xf>
    <xf numFmtId="0" fontId="3" fillId="0" borderId="0" xfId="70" applyAlignment="1">
      <alignment horizontal="left"/>
    </xf>
    <xf numFmtId="0" fontId="3" fillId="41" borderId="221" xfId="70" applyFill="1" applyBorder="1" applyAlignment="1">
      <alignment horizontal="center" wrapText="1"/>
    </xf>
    <xf numFmtId="0" fontId="3" fillId="0" borderId="0" xfId="70" applyBorder="1"/>
    <xf numFmtId="0" fontId="3" fillId="0" borderId="0" xfId="70" applyBorder="1" applyAlignment="1"/>
    <xf numFmtId="0" fontId="139" fillId="0" borderId="0" xfId="71" applyFont="1" applyFill="1" applyBorder="1" applyAlignment="1">
      <alignment horizontal="center" wrapText="1"/>
    </xf>
    <xf numFmtId="0" fontId="3" fillId="0" borderId="0" xfId="70" applyBorder="1" applyAlignment="1">
      <alignment horizontal="right" wrapText="1"/>
    </xf>
    <xf numFmtId="1" fontId="150" fillId="26" borderId="222" xfId="28" applyNumberFormat="1" applyFont="1" applyFill="1" applyBorder="1" applyAlignment="1">
      <alignment horizontal="center" vertical="center"/>
    </xf>
    <xf numFmtId="0" fontId="148" fillId="63" borderId="0" xfId="71" applyFont="1" applyFill="1" applyBorder="1" applyAlignment="1">
      <alignment horizontal="center" wrapText="1"/>
    </xf>
    <xf numFmtId="0" fontId="149" fillId="63" borderId="0" xfId="70" applyFont="1" applyFill="1" applyBorder="1" applyAlignment="1">
      <alignment horizontal="right" wrapText="1"/>
    </xf>
    <xf numFmtId="0" fontId="149" fillId="63" borderId="0" xfId="70" applyFont="1" applyFill="1" applyBorder="1"/>
    <xf numFmtId="0" fontId="45" fillId="0" borderId="149" xfId="45" applyBorder="1"/>
    <xf numFmtId="0" fontId="45" fillId="0" borderId="0" xfId="45" applyBorder="1"/>
    <xf numFmtId="165" fontId="3" fillId="0" borderId="0" xfId="70" applyNumberFormat="1" applyBorder="1"/>
    <xf numFmtId="0" fontId="78" fillId="0" borderId="0" xfId="45" applyFont="1" applyFill="1" applyBorder="1" applyAlignment="1">
      <alignment horizontal="right" wrapText="1"/>
    </xf>
    <xf numFmtId="0" fontId="78" fillId="0" borderId="149" xfId="45" applyFont="1" applyFill="1" applyBorder="1" applyAlignment="1">
      <alignment horizontal="right" wrapText="1"/>
    </xf>
    <xf numFmtId="3" fontId="141" fillId="0" borderId="0" xfId="70" applyNumberFormat="1" applyFont="1" applyBorder="1"/>
    <xf numFmtId="3" fontId="3" fillId="0" borderId="0" xfId="70" applyNumberFormat="1" applyBorder="1"/>
    <xf numFmtId="0" fontId="98" fillId="0" borderId="236" xfId="0" applyFont="1" applyFill="1" applyBorder="1" applyAlignment="1">
      <alignment horizontal="left" wrapText="1"/>
    </xf>
    <xf numFmtId="0" fontId="75" fillId="0" borderId="236" xfId="0" applyFont="1" applyFill="1" applyBorder="1" applyAlignment="1">
      <alignment horizontal="left" wrapText="1"/>
    </xf>
    <xf numFmtId="38" fontId="75" fillId="41" borderId="236" xfId="0" applyNumberFormat="1" applyFont="1" applyFill="1" applyBorder="1" applyAlignment="1">
      <alignment wrapText="1"/>
    </xf>
    <xf numFmtId="6" fontId="75" fillId="0" borderId="236" xfId="0" applyNumberFormat="1" applyFont="1" applyBorder="1"/>
    <xf numFmtId="8" fontId="75" fillId="0" borderId="236" xfId="0" applyNumberFormat="1" applyFont="1" applyBorder="1"/>
    <xf numFmtId="6" fontId="75" fillId="27" borderId="236" xfId="0" applyNumberFormat="1" applyFont="1" applyFill="1" applyBorder="1"/>
    <xf numFmtId="6" fontId="75" fillId="41" borderId="236" xfId="0" applyNumberFormat="1" applyFont="1" applyFill="1" applyBorder="1"/>
    <xf numFmtId="8" fontId="75" fillId="41" borderId="236" xfId="0" applyNumberFormat="1" applyFont="1" applyFill="1" applyBorder="1"/>
    <xf numFmtId="0" fontId="98" fillId="0" borderId="237" xfId="0" applyFont="1" applyFill="1" applyBorder="1" applyAlignment="1">
      <alignment horizontal="left" wrapText="1"/>
    </xf>
    <xf numFmtId="0" fontId="75" fillId="0" borderId="237" xfId="0" applyFont="1" applyFill="1" applyBorder="1" applyAlignment="1">
      <alignment horizontal="left" wrapText="1"/>
    </xf>
    <xf numFmtId="38" fontId="75" fillId="41" borderId="237" xfId="0" applyNumberFormat="1" applyFont="1" applyFill="1" applyBorder="1" applyAlignment="1">
      <alignment wrapText="1"/>
    </xf>
    <xf numFmtId="6" fontId="75" fillId="0" borderId="237" xfId="0" applyNumberFormat="1" applyFont="1" applyBorder="1"/>
    <xf numFmtId="8" fontId="75" fillId="0" borderId="237" xfId="0" applyNumberFormat="1" applyFont="1" applyBorder="1"/>
    <xf numFmtId="6" fontId="75" fillId="27" borderId="237" xfId="0" applyNumberFormat="1" applyFont="1" applyFill="1" applyBorder="1"/>
    <xf numFmtId="6" fontId="75" fillId="41" borderId="237" xfId="0" applyNumberFormat="1" applyFont="1" applyFill="1" applyBorder="1"/>
    <xf numFmtId="8" fontId="75" fillId="41" borderId="237" xfId="0" applyNumberFormat="1" applyFont="1" applyFill="1" applyBorder="1"/>
    <xf numFmtId="0" fontId="98" fillId="41" borderId="237" xfId="0" applyFont="1" applyFill="1" applyBorder="1" applyAlignment="1">
      <alignment horizontal="left" wrapText="1"/>
    </xf>
    <xf numFmtId="0" fontId="75" fillId="41" borderId="237" xfId="0" applyFont="1" applyFill="1" applyBorder="1" applyAlignment="1">
      <alignment horizontal="left" wrapText="1"/>
    </xf>
    <xf numFmtId="0" fontId="98" fillId="0" borderId="238" xfId="0" applyFont="1" applyFill="1" applyBorder="1" applyAlignment="1">
      <alignment horizontal="left" wrapText="1"/>
    </xf>
    <xf numFmtId="0" fontId="75" fillId="0" borderId="238" xfId="0" applyFont="1" applyFill="1" applyBorder="1" applyAlignment="1">
      <alignment horizontal="left" wrapText="1"/>
    </xf>
    <xf numFmtId="38" fontId="75" fillId="0" borderId="238" xfId="0" applyNumberFormat="1" applyFont="1" applyFill="1" applyBorder="1" applyAlignment="1">
      <alignment wrapText="1"/>
    </xf>
    <xf numFmtId="6" fontId="75" fillId="0" borderId="238" xfId="0" applyNumberFormat="1" applyFont="1" applyBorder="1"/>
    <xf numFmtId="8" fontId="75" fillId="41" borderId="238" xfId="0" applyNumberFormat="1" applyFont="1" applyFill="1" applyBorder="1"/>
    <xf numFmtId="6" fontId="75" fillId="27" borderId="238" xfId="0" applyNumberFormat="1" applyFont="1" applyFill="1" applyBorder="1"/>
    <xf numFmtId="6" fontId="75" fillId="41" borderId="238" xfId="0" applyNumberFormat="1" applyFont="1" applyFill="1" applyBorder="1"/>
    <xf numFmtId="3" fontId="75" fillId="0" borderId="236" xfId="0" applyNumberFormat="1" applyFont="1" applyFill="1" applyBorder="1"/>
    <xf numFmtId="3" fontId="75" fillId="0" borderId="237" xfId="0" applyNumberFormat="1" applyFont="1" applyFill="1" applyBorder="1"/>
    <xf numFmtId="0" fontId="98" fillId="49" borderId="237" xfId="0" applyFont="1" applyFill="1" applyBorder="1" applyAlignment="1">
      <alignment horizontal="left" wrapText="1"/>
    </xf>
    <xf numFmtId="0" fontId="75" fillId="49" borderId="237" xfId="0" applyFont="1" applyFill="1" applyBorder="1" applyAlignment="1">
      <alignment horizontal="left" wrapText="1"/>
    </xf>
    <xf numFmtId="38" fontId="75" fillId="49" borderId="237" xfId="0" applyNumberFormat="1" applyFont="1" applyFill="1" applyBorder="1" applyAlignment="1">
      <alignment wrapText="1"/>
    </xf>
    <xf numFmtId="0" fontId="98" fillId="41" borderId="238" xfId="0" applyFont="1" applyFill="1" applyBorder="1" applyAlignment="1">
      <alignment horizontal="left" wrapText="1"/>
    </xf>
    <xf numFmtId="0" fontId="75" fillId="41" borderId="238" xfId="0" applyFont="1" applyFill="1" applyBorder="1" applyAlignment="1">
      <alignment horizontal="left" wrapText="1"/>
    </xf>
    <xf numFmtId="38" fontId="75" fillId="41" borderId="238" xfId="0" applyNumberFormat="1" applyFont="1" applyFill="1" applyBorder="1" applyAlignment="1">
      <alignment wrapText="1"/>
    </xf>
    <xf numFmtId="8" fontId="75" fillId="0" borderId="238" xfId="0" applyNumberFormat="1" applyFont="1" applyBorder="1"/>
    <xf numFmtId="0" fontId="98" fillId="41" borderId="236" xfId="0" applyFont="1" applyFill="1" applyBorder="1" applyAlignment="1">
      <alignment horizontal="left" wrapText="1"/>
    </xf>
    <xf numFmtId="0" fontId="75" fillId="41" borderId="236" xfId="0" applyFont="1" applyFill="1" applyBorder="1" applyAlignment="1">
      <alignment horizontal="left" wrapText="1"/>
    </xf>
    <xf numFmtId="0" fontId="98" fillId="49" borderId="236" xfId="0" applyFont="1" applyFill="1" applyBorder="1" applyAlignment="1">
      <alignment horizontal="left" wrapText="1"/>
    </xf>
    <xf numFmtId="0" fontId="75" fillId="49" borderId="236" xfId="0" applyFont="1" applyFill="1" applyBorder="1" applyAlignment="1">
      <alignment horizontal="left" wrapText="1"/>
    </xf>
    <xf numFmtId="38" fontId="75" fillId="49" borderId="236" xfId="0" applyNumberFormat="1" applyFont="1" applyFill="1" applyBorder="1" applyAlignment="1">
      <alignment wrapText="1"/>
    </xf>
    <xf numFmtId="38" fontId="75" fillId="0" borderId="237" xfId="0" applyNumberFormat="1" applyFont="1" applyFill="1" applyBorder="1" applyAlignment="1">
      <alignment wrapText="1"/>
    </xf>
    <xf numFmtId="8" fontId="75" fillId="0" borderId="237" xfId="0" applyNumberFormat="1" applyFont="1" applyFill="1" applyBorder="1"/>
    <xf numFmtId="3" fontId="75" fillId="0" borderId="238" xfId="0" applyNumberFormat="1" applyFont="1" applyFill="1" applyBorder="1"/>
    <xf numFmtId="0" fontId="98" fillId="49" borderId="238" xfId="0" applyFont="1" applyFill="1" applyBorder="1" applyAlignment="1">
      <alignment horizontal="left" wrapText="1"/>
    </xf>
    <xf numFmtId="0" fontId="75" fillId="49" borderId="238" xfId="0" applyFont="1" applyFill="1" applyBorder="1" applyAlignment="1">
      <alignment horizontal="left" wrapText="1"/>
    </xf>
    <xf numFmtId="38" fontId="75" fillId="49" borderId="238" xfId="0" applyNumberFormat="1" applyFont="1" applyFill="1" applyBorder="1" applyAlignment="1">
      <alignment wrapText="1"/>
    </xf>
    <xf numFmtId="3" fontId="75" fillId="41" borderId="237" xfId="0" applyNumberFormat="1" applyFont="1" applyFill="1" applyBorder="1"/>
    <xf numFmtId="3" fontId="75" fillId="41" borderId="238" xfId="0" applyNumberFormat="1" applyFont="1" applyFill="1" applyBorder="1"/>
    <xf numFmtId="8" fontId="75" fillId="41" borderId="146" xfId="0" applyNumberFormat="1" applyFont="1" applyFill="1" applyBorder="1" applyAlignment="1">
      <alignment horizontal="center"/>
    </xf>
    <xf numFmtId="0" fontId="13" fillId="41" borderId="191" xfId="0" applyFont="1" applyFill="1" applyBorder="1" applyAlignment="1">
      <alignment horizontal="left"/>
    </xf>
    <xf numFmtId="5" fontId="15" fillId="41" borderId="196" xfId="0" applyNumberFormat="1" applyFont="1" applyFill="1" applyBorder="1" applyAlignment="1" applyProtection="1"/>
    <xf numFmtId="5" fontId="15" fillId="41" borderId="163" xfId="0" applyNumberFormat="1" applyFont="1" applyFill="1" applyBorder="1" applyAlignment="1" applyProtection="1"/>
    <xf numFmtId="166" fontId="8" fillId="39" borderId="119" xfId="53" applyNumberFormat="1" applyFont="1" applyFill="1" applyBorder="1" applyAlignment="1" applyProtection="1">
      <alignment horizontal="right"/>
    </xf>
    <xf numFmtId="6" fontId="10" fillId="0" borderId="223" xfId="0" applyNumberFormat="1" applyFont="1" applyFill="1" applyBorder="1" applyProtection="1"/>
    <xf numFmtId="6" fontId="10" fillId="0" borderId="224" xfId="0" applyNumberFormat="1" applyFont="1" applyFill="1" applyBorder="1" applyProtection="1"/>
    <xf numFmtId="0" fontId="135" fillId="0" borderId="0" xfId="0" applyFont="1" applyBorder="1" applyAlignment="1">
      <alignment horizontal="center" wrapText="1"/>
    </xf>
    <xf numFmtId="0" fontId="13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6" fillId="0" borderId="17" xfId="0" quotePrefix="1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56" fillId="27" borderId="136" xfId="0" applyFont="1" applyFill="1" applyBorder="1" applyAlignment="1">
      <alignment horizontal="center" vertical="center" wrapText="1"/>
    </xf>
    <xf numFmtId="0" fontId="24" fillId="27" borderId="50" xfId="0" applyFont="1" applyFill="1" applyBorder="1" applyAlignment="1">
      <alignment horizontal="center" vertical="center" wrapText="1"/>
    </xf>
    <xf numFmtId="0" fontId="24" fillId="27" borderId="23" xfId="0" applyFont="1" applyFill="1" applyBorder="1" applyAlignment="1">
      <alignment horizontal="center" vertical="center" wrapText="1"/>
    </xf>
    <xf numFmtId="0" fontId="23" fillId="27" borderId="136" xfId="0" quotePrefix="1" applyFont="1" applyFill="1" applyBorder="1" applyAlignment="1">
      <alignment horizontal="center" vertical="center" wrapText="1"/>
    </xf>
    <xf numFmtId="0" fontId="23" fillId="27" borderId="50" xfId="0" applyFont="1" applyFill="1" applyBorder="1" applyAlignment="1">
      <alignment horizontal="center" vertical="center" wrapText="1"/>
    </xf>
    <xf numFmtId="0" fontId="23" fillId="27" borderId="23" xfId="0" applyFont="1" applyFill="1" applyBorder="1" applyAlignment="1">
      <alignment horizontal="center" vertical="center" wrapText="1"/>
    </xf>
    <xf numFmtId="0" fontId="23" fillId="0" borderId="139" xfId="0" applyFont="1" applyFill="1" applyBorder="1" applyAlignment="1">
      <alignment horizontal="center" vertical="center" wrapText="1"/>
    </xf>
    <xf numFmtId="0" fontId="23" fillId="0" borderId="140" xfId="0" applyFont="1" applyFill="1" applyBorder="1" applyAlignment="1">
      <alignment horizontal="center" vertical="center"/>
    </xf>
    <xf numFmtId="0" fontId="23" fillId="0" borderId="109" xfId="0" applyFont="1" applyFill="1" applyBorder="1" applyAlignment="1">
      <alignment horizontal="center" vertical="center"/>
    </xf>
    <xf numFmtId="0" fontId="56" fillId="27" borderId="148" xfId="0" applyFont="1" applyFill="1" applyBorder="1" applyAlignment="1">
      <alignment horizontal="center" vertical="center" wrapText="1"/>
    </xf>
    <xf numFmtId="0" fontId="56" fillId="27" borderId="24" xfId="0" applyFont="1" applyFill="1" applyBorder="1" applyAlignment="1">
      <alignment horizontal="center" vertical="center" wrapText="1"/>
    </xf>
    <xf numFmtId="0" fontId="56" fillId="27" borderId="149" xfId="0" applyFont="1" applyFill="1" applyBorder="1" applyAlignment="1">
      <alignment horizontal="center" vertical="center" wrapText="1"/>
    </xf>
    <xf numFmtId="0" fontId="56" fillId="27" borderId="25" xfId="0" applyFont="1" applyFill="1" applyBorder="1" applyAlignment="1">
      <alignment horizontal="center" vertical="center" wrapText="1"/>
    </xf>
    <xf numFmtId="0" fontId="56" fillId="27" borderId="150" xfId="0" applyFont="1" applyFill="1" applyBorder="1" applyAlignment="1">
      <alignment horizontal="center" vertical="center" wrapText="1"/>
    </xf>
    <xf numFmtId="0" fontId="56" fillId="27" borderId="151" xfId="0" applyFont="1" applyFill="1" applyBorder="1" applyAlignment="1">
      <alignment horizontal="center" vertical="center" wrapText="1"/>
    </xf>
    <xf numFmtId="0" fontId="70" fillId="0" borderId="16" xfId="0" applyFont="1" applyBorder="1" applyAlignment="1">
      <alignment horizontal="left" vertical="top" wrapText="1"/>
    </xf>
    <xf numFmtId="0" fontId="13" fillId="0" borderId="143" xfId="0" applyFont="1" applyFill="1" applyBorder="1" applyAlignment="1">
      <alignment horizontal="left" vertical="top" wrapText="1"/>
    </xf>
    <xf numFmtId="0" fontId="13" fillId="0" borderId="144" xfId="0" applyFont="1" applyFill="1" applyBorder="1" applyAlignment="1">
      <alignment horizontal="left" vertical="top" wrapText="1"/>
    </xf>
    <xf numFmtId="0" fontId="23" fillId="0" borderId="137" xfId="0" quotePrefix="1" applyFont="1" applyFill="1" applyBorder="1" applyAlignment="1">
      <alignment horizontal="left" vertical="center" wrapText="1"/>
    </xf>
    <xf numFmtId="0" fontId="23" fillId="0" borderId="138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/>
    </xf>
    <xf numFmtId="0" fontId="20" fillId="27" borderId="62" xfId="0" applyFont="1" applyFill="1" applyBorder="1" applyAlignment="1">
      <alignment horizontal="left" vertical="center" wrapText="1"/>
    </xf>
    <xf numFmtId="0" fontId="0" fillId="0" borderId="141" xfId="0" applyBorder="1" applyAlignment="1">
      <alignment horizontal="left" vertical="center" wrapText="1"/>
    </xf>
    <xf numFmtId="0" fontId="20" fillId="27" borderId="142" xfId="0" applyFont="1" applyFill="1" applyBorder="1" applyAlignment="1">
      <alignment horizontal="left" vertical="center" wrapText="1"/>
    </xf>
    <xf numFmtId="0" fontId="20" fillId="27" borderId="114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7" fillId="27" borderId="26" xfId="0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center" vertical="center" wrapText="1"/>
    </xf>
    <xf numFmtId="0" fontId="27" fillId="35" borderId="11" xfId="0" applyFont="1" applyFill="1" applyBorder="1" applyAlignment="1">
      <alignment horizontal="center" vertical="center" wrapText="1"/>
    </xf>
    <xf numFmtId="0" fontId="27" fillId="35" borderId="13" xfId="0" applyFont="1" applyFill="1" applyBorder="1" applyAlignment="1">
      <alignment horizontal="center" vertical="center" wrapText="1"/>
    </xf>
    <xf numFmtId="0" fontId="27" fillId="31" borderId="26" xfId="0" applyFont="1" applyFill="1" applyBorder="1" applyAlignment="1">
      <alignment horizontal="center" vertical="center" wrapText="1"/>
    </xf>
    <xf numFmtId="0" fontId="0" fillId="0" borderId="87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214" xfId="0" applyBorder="1" applyAlignment="1">
      <alignment horizontal="center" wrapText="1"/>
    </xf>
    <xf numFmtId="0" fontId="0" fillId="0" borderId="215" xfId="0" applyBorder="1" applyAlignment="1">
      <alignment horizontal="center" wrapText="1"/>
    </xf>
    <xf numFmtId="0" fontId="0" fillId="0" borderId="216" xfId="0" applyBorder="1" applyAlignment="1">
      <alignment horizontal="center" wrapText="1"/>
    </xf>
    <xf numFmtId="0" fontId="27" fillId="49" borderId="0" xfId="0" applyFont="1" applyFill="1" applyBorder="1" applyAlignment="1">
      <alignment horizontal="center" vertical="center" wrapText="1"/>
    </xf>
    <xf numFmtId="0" fontId="72" fillId="25" borderId="36" xfId="0" applyFont="1" applyFill="1" applyBorder="1" applyAlignment="1">
      <alignment horizontal="center"/>
    </xf>
    <xf numFmtId="0" fontId="72" fillId="25" borderId="51" xfId="0" applyFont="1" applyFill="1" applyBorder="1" applyAlignment="1">
      <alignment horizontal="center"/>
    </xf>
    <xf numFmtId="0" fontId="72" fillId="25" borderId="42" xfId="0" applyFont="1" applyFill="1" applyBorder="1" applyAlignment="1">
      <alignment horizontal="center"/>
    </xf>
    <xf numFmtId="0" fontId="27" fillId="62" borderId="10" xfId="0" applyFont="1" applyFill="1" applyBorder="1" applyAlignment="1">
      <alignment horizontal="center" vertical="center" wrapText="1"/>
    </xf>
    <xf numFmtId="0" fontId="27" fillId="62" borderId="11" xfId="0" applyFont="1" applyFill="1" applyBorder="1" applyAlignment="1">
      <alignment horizontal="center" vertical="center" wrapText="1"/>
    </xf>
    <xf numFmtId="0" fontId="27" fillId="62" borderId="13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 applyProtection="1">
      <alignment horizontal="center" vertical="center"/>
    </xf>
    <xf numFmtId="0" fontId="27" fillId="25" borderId="11" xfId="0" applyFont="1" applyFill="1" applyBorder="1" applyAlignment="1" applyProtection="1">
      <alignment horizontal="center" vertical="center"/>
    </xf>
    <xf numFmtId="0" fontId="27" fillId="25" borderId="13" xfId="0" applyFont="1" applyFill="1" applyBorder="1" applyAlignment="1" applyProtection="1">
      <alignment horizontal="center" vertical="center"/>
    </xf>
    <xf numFmtId="0" fontId="12" fillId="25" borderId="26" xfId="0" applyFont="1" applyFill="1" applyBorder="1" applyAlignment="1">
      <alignment horizontal="center" vertical="center" wrapText="1"/>
    </xf>
    <xf numFmtId="0" fontId="27" fillId="27" borderId="221" xfId="0" applyFont="1" applyFill="1" applyBorder="1" applyAlignment="1">
      <alignment horizontal="center" vertical="center" wrapText="1"/>
    </xf>
    <xf numFmtId="0" fontId="27" fillId="27" borderId="223" xfId="0" applyFont="1" applyFill="1" applyBorder="1" applyAlignment="1">
      <alignment horizontal="center" vertical="center" wrapText="1"/>
    </xf>
    <xf numFmtId="0" fontId="27" fillId="27" borderId="13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27" fillId="25" borderId="11" xfId="0" applyFont="1" applyFill="1" applyBorder="1" applyAlignment="1">
      <alignment horizontal="center" vertical="center" wrapText="1"/>
    </xf>
    <xf numFmtId="0" fontId="27" fillId="25" borderId="13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 applyProtection="1">
      <alignment horizontal="center" vertical="center" wrapText="1"/>
    </xf>
    <xf numFmtId="0" fontId="27" fillId="43" borderId="10" xfId="0" applyFont="1" applyFill="1" applyBorder="1" applyAlignment="1">
      <alignment horizontal="center" vertical="center" wrapText="1"/>
    </xf>
    <xf numFmtId="0" fontId="27" fillId="43" borderId="11" xfId="0" applyFont="1" applyFill="1" applyBorder="1" applyAlignment="1">
      <alignment horizontal="center" vertical="center" wrapText="1"/>
    </xf>
    <xf numFmtId="0" fontId="27" fillId="43" borderId="13" xfId="0" applyFont="1" applyFill="1" applyBorder="1" applyAlignment="1">
      <alignment horizontal="center" vertical="center" wrapText="1"/>
    </xf>
    <xf numFmtId="0" fontId="27" fillId="27" borderId="10" xfId="0" applyFont="1" applyFill="1" applyBorder="1" applyAlignment="1">
      <alignment horizontal="center" vertical="center" wrapText="1"/>
    </xf>
    <xf numFmtId="0" fontId="27" fillId="27" borderId="11" xfId="0" applyFont="1" applyFill="1" applyBorder="1" applyAlignment="1">
      <alignment horizontal="center" vertical="center" wrapText="1"/>
    </xf>
    <xf numFmtId="0" fontId="27" fillId="53" borderId="10" xfId="0" applyFont="1" applyFill="1" applyBorder="1" applyAlignment="1">
      <alignment horizontal="center" vertical="center" wrapText="1"/>
    </xf>
    <xf numFmtId="0" fontId="27" fillId="53" borderId="11" xfId="0" applyFont="1" applyFill="1" applyBorder="1" applyAlignment="1">
      <alignment horizontal="center" vertical="center" wrapText="1"/>
    </xf>
    <xf numFmtId="0" fontId="27" fillId="53" borderId="13" xfId="0" applyFont="1" applyFill="1" applyBorder="1" applyAlignment="1">
      <alignment horizontal="center" vertical="center" wrapText="1"/>
    </xf>
    <xf numFmtId="0" fontId="27" fillId="60" borderId="10" xfId="0" applyFont="1" applyFill="1" applyBorder="1" applyAlignment="1">
      <alignment horizontal="center" vertical="center" wrapText="1"/>
    </xf>
    <xf numFmtId="0" fontId="27" fillId="60" borderId="11" xfId="0" applyFont="1" applyFill="1" applyBorder="1" applyAlignment="1">
      <alignment horizontal="center" vertical="center" wrapText="1"/>
    </xf>
    <xf numFmtId="0" fontId="27" fillId="60" borderId="13" xfId="0" applyFont="1" applyFill="1" applyBorder="1" applyAlignment="1">
      <alignment horizontal="center" vertical="center" wrapText="1"/>
    </xf>
    <xf numFmtId="0" fontId="48" fillId="0" borderId="87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wrapText="1"/>
    </xf>
    <xf numFmtId="0" fontId="48" fillId="0" borderId="77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42" fillId="31" borderId="87" xfId="0" applyFont="1" applyFill="1" applyBorder="1" applyAlignment="1">
      <alignment horizontal="center"/>
    </xf>
    <xf numFmtId="0" fontId="42" fillId="31" borderId="37" xfId="0" applyFont="1" applyFill="1" applyBorder="1" applyAlignment="1">
      <alignment horizontal="center"/>
    </xf>
    <xf numFmtId="0" fontId="42" fillId="31" borderId="77" xfId="0" applyFont="1" applyFill="1" applyBorder="1" applyAlignment="1">
      <alignment horizontal="center"/>
    </xf>
    <xf numFmtId="9" fontId="22" fillId="27" borderId="226" xfId="48" applyFont="1" applyFill="1" applyBorder="1" applyAlignment="1">
      <alignment horizontal="center"/>
    </xf>
    <xf numFmtId="9" fontId="22" fillId="27" borderId="225" xfId="48" applyFont="1" applyFill="1" applyBorder="1" applyAlignment="1">
      <alignment horizontal="center"/>
    </xf>
    <xf numFmtId="9" fontId="22" fillId="27" borderId="226" xfId="0" applyNumberFormat="1" applyFont="1" applyFill="1" applyBorder="1" applyAlignment="1">
      <alignment horizontal="center"/>
    </xf>
    <xf numFmtId="9" fontId="22" fillId="27" borderId="225" xfId="0" applyNumberFormat="1" applyFont="1" applyFill="1" applyBorder="1" applyAlignment="1">
      <alignment horizontal="center"/>
    </xf>
    <xf numFmtId="0" fontId="11" fillId="31" borderId="36" xfId="0" applyFont="1" applyFill="1" applyBorder="1" applyAlignment="1">
      <alignment horizontal="center"/>
    </xf>
    <xf numFmtId="0" fontId="11" fillId="31" borderId="42" xfId="0" applyFont="1" applyFill="1" applyBorder="1" applyAlignment="1">
      <alignment horizontal="center"/>
    </xf>
    <xf numFmtId="7" fontId="57" fillId="0" borderId="0" xfId="32" applyNumberFormat="1" applyFont="1" applyAlignment="1">
      <alignment horizontal="center" wrapText="1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0" fontId="42" fillId="36" borderId="87" xfId="0" applyFont="1" applyFill="1" applyBorder="1" applyAlignment="1">
      <alignment horizontal="center"/>
    </xf>
    <xf numFmtId="0" fontId="42" fillId="36" borderId="37" xfId="0" applyFont="1" applyFill="1" applyBorder="1" applyAlignment="1">
      <alignment horizontal="center"/>
    </xf>
    <xf numFmtId="0" fontId="42" fillId="36" borderId="7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27" fillId="25" borderId="26" xfId="0" applyFont="1" applyFill="1" applyBorder="1" applyAlignment="1" applyProtection="1">
      <alignment horizontal="center" vertical="center" wrapText="1"/>
    </xf>
    <xf numFmtId="0" fontId="27" fillId="25" borderId="26" xfId="0" applyFont="1" applyFill="1" applyBorder="1" applyAlignment="1" applyProtection="1">
      <alignment horizontal="center" vertical="center"/>
    </xf>
    <xf numFmtId="0" fontId="27" fillId="25" borderId="36" xfId="0" applyFont="1" applyFill="1" applyBorder="1" applyAlignment="1" applyProtection="1">
      <alignment horizontal="center" vertical="center" wrapText="1"/>
    </xf>
    <xf numFmtId="0" fontId="46" fillId="25" borderId="10" xfId="0" applyFont="1" applyFill="1" applyBorder="1" applyAlignment="1">
      <alignment horizontal="center" vertical="center" wrapText="1"/>
    </xf>
    <xf numFmtId="0" fontId="46" fillId="25" borderId="13" xfId="0" applyFont="1" applyFill="1" applyBorder="1" applyAlignment="1">
      <alignment horizontal="center" vertical="center" wrapText="1"/>
    </xf>
    <xf numFmtId="0" fontId="27" fillId="25" borderId="13" xfId="0" quotePrefix="1" applyFont="1" applyFill="1" applyBorder="1" applyAlignment="1">
      <alignment horizontal="center" vertical="center" wrapText="1"/>
    </xf>
    <xf numFmtId="0" fontId="27" fillId="56" borderId="10" xfId="0" applyFont="1" applyFill="1" applyBorder="1" applyAlignment="1">
      <alignment horizontal="center" vertical="center" wrapText="1"/>
    </xf>
    <xf numFmtId="0" fontId="27" fillId="56" borderId="13" xfId="0" applyFont="1" applyFill="1" applyBorder="1" applyAlignment="1">
      <alignment horizontal="center" vertical="center" wrapText="1"/>
    </xf>
    <xf numFmtId="0" fontId="66" fillId="27" borderId="10" xfId="0" applyFont="1" applyFill="1" applyBorder="1" applyAlignment="1">
      <alignment horizontal="center" vertical="center" wrapText="1"/>
    </xf>
    <xf numFmtId="0" fontId="66" fillId="61" borderId="36" xfId="0" applyFont="1" applyFill="1" applyBorder="1" applyAlignment="1" applyProtection="1">
      <alignment horizontal="center" vertical="center" wrapText="1"/>
    </xf>
    <xf numFmtId="0" fontId="66" fillId="61" borderId="51" xfId="0" applyFont="1" applyFill="1" applyBorder="1" applyAlignment="1" applyProtection="1">
      <alignment horizontal="center" vertical="center" wrapText="1"/>
    </xf>
    <xf numFmtId="0" fontId="66" fillId="61" borderId="42" xfId="0" applyFont="1" applyFill="1" applyBorder="1" applyAlignment="1" applyProtection="1">
      <alignment horizontal="center" vertical="center" wrapText="1"/>
    </xf>
    <xf numFmtId="0" fontId="66" fillId="37" borderId="36" xfId="0" applyFont="1" applyFill="1" applyBorder="1" applyAlignment="1" applyProtection="1">
      <alignment horizontal="center" vertical="center" wrapText="1"/>
    </xf>
    <xf numFmtId="0" fontId="66" fillId="37" borderId="42" xfId="0" quotePrefix="1" applyFont="1" applyFill="1" applyBorder="1" applyAlignment="1" applyProtection="1">
      <alignment horizontal="center" vertical="center" wrapText="1"/>
    </xf>
    <xf numFmtId="0" fontId="67" fillId="43" borderId="42" xfId="0" applyFont="1" applyFill="1" applyBorder="1" applyAlignment="1">
      <alignment horizontal="center" vertical="center" wrapText="1"/>
    </xf>
    <xf numFmtId="0" fontId="27" fillId="43" borderId="10" xfId="0" quotePrefix="1" applyFont="1" applyFill="1" applyBorder="1" applyAlignment="1">
      <alignment horizontal="center" vertical="center" wrapText="1"/>
    </xf>
    <xf numFmtId="0" fontId="27" fillId="43" borderId="13" xfId="0" quotePrefix="1" applyFont="1" applyFill="1" applyBorder="1" applyAlignment="1">
      <alignment horizontal="center" vertical="center" wrapText="1"/>
    </xf>
    <xf numFmtId="6" fontId="95" fillId="0" borderId="135" xfId="0" applyNumberFormat="1" applyFont="1" applyFill="1" applyBorder="1" applyAlignment="1" applyProtection="1">
      <alignment horizontal="center" vertical="top" wrapText="1"/>
    </xf>
    <xf numFmtId="6" fontId="95" fillId="0" borderId="0" xfId="0" applyNumberFormat="1" applyFont="1" applyFill="1" applyBorder="1" applyAlignment="1" applyProtection="1">
      <alignment horizontal="center" vertical="top" wrapText="1"/>
    </xf>
    <xf numFmtId="6" fontId="95" fillId="0" borderId="14" xfId="0" applyNumberFormat="1" applyFont="1" applyFill="1" applyBorder="1" applyAlignment="1" applyProtection="1">
      <alignment horizontal="center" vertical="top" wrapText="1"/>
    </xf>
    <xf numFmtId="0" fontId="66" fillId="27" borderId="36" xfId="0" applyFont="1" applyFill="1" applyBorder="1" applyAlignment="1">
      <alignment horizontal="center" vertical="center" wrapText="1"/>
    </xf>
    <xf numFmtId="0" fontId="66" fillId="27" borderId="42" xfId="0" applyFont="1" applyFill="1" applyBorder="1" applyAlignment="1">
      <alignment horizontal="center" vertical="center" wrapText="1"/>
    </xf>
    <xf numFmtId="0" fontId="27" fillId="27" borderId="221" xfId="65" quotePrefix="1" applyFont="1" applyFill="1" applyBorder="1" applyAlignment="1">
      <alignment horizontal="center" vertical="center" wrapText="1"/>
    </xf>
    <xf numFmtId="0" fontId="27" fillId="27" borderId="13" xfId="65" quotePrefix="1" applyFont="1" applyFill="1" applyBorder="1" applyAlignment="1">
      <alignment horizontal="center" vertical="center" wrapText="1"/>
    </xf>
    <xf numFmtId="0" fontId="27" fillId="29" borderId="221" xfId="65" quotePrefix="1" applyFont="1" applyFill="1" applyBorder="1" applyAlignment="1">
      <alignment horizontal="center" vertical="center" wrapText="1"/>
    </xf>
    <xf numFmtId="0" fontId="27" fillId="29" borderId="13" xfId="65" quotePrefix="1" applyFont="1" applyFill="1" applyBorder="1" applyAlignment="1">
      <alignment horizontal="center" vertical="center" wrapText="1"/>
    </xf>
    <xf numFmtId="0" fontId="27" fillId="25" borderId="221" xfId="65" quotePrefix="1" applyFont="1" applyFill="1" applyBorder="1" applyAlignment="1">
      <alignment horizontal="center" vertical="center" wrapText="1"/>
    </xf>
    <xf numFmtId="0" fontId="27" fillId="25" borderId="13" xfId="65" quotePrefix="1" applyFont="1" applyFill="1" applyBorder="1" applyAlignment="1">
      <alignment horizontal="center" vertical="center" wrapText="1"/>
    </xf>
    <xf numFmtId="0" fontId="27" fillId="29" borderId="10" xfId="0" applyFont="1" applyFill="1" applyBorder="1" applyAlignment="1">
      <alignment horizontal="center" vertical="center" wrapText="1"/>
    </xf>
    <xf numFmtId="0" fontId="27" fillId="29" borderId="13" xfId="0" applyFont="1" applyFill="1" applyBorder="1" applyAlignment="1">
      <alignment horizontal="center" vertical="center" wrapText="1"/>
    </xf>
    <xf numFmtId="0" fontId="27" fillId="57" borderId="10" xfId="0" applyFont="1" applyFill="1" applyBorder="1" applyAlignment="1">
      <alignment horizontal="center" vertical="center" wrapText="1"/>
    </xf>
    <xf numFmtId="0" fontId="27" fillId="57" borderId="13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left" vertical="top" wrapText="1"/>
    </xf>
    <xf numFmtId="0" fontId="27" fillId="29" borderId="221" xfId="0" applyFont="1" applyFill="1" applyBorder="1" applyAlignment="1">
      <alignment horizontal="center" vertical="center" wrapText="1"/>
    </xf>
    <xf numFmtId="0" fontId="27" fillId="25" borderId="221" xfId="0" applyFont="1" applyFill="1" applyBorder="1" applyAlignment="1">
      <alignment horizontal="center" vertical="center" wrapText="1"/>
    </xf>
    <xf numFmtId="0" fontId="27" fillId="57" borderId="221" xfId="0" applyFont="1" applyFill="1" applyBorder="1" applyAlignment="1">
      <alignment horizontal="center" vertical="center" wrapText="1"/>
    </xf>
    <xf numFmtId="0" fontId="130" fillId="0" borderId="0" xfId="0" applyFont="1" applyBorder="1" applyAlignment="1">
      <alignment horizontal="left" wrapText="1"/>
    </xf>
    <xf numFmtId="0" fontId="128" fillId="0" borderId="0" xfId="0" applyFont="1" applyAlignment="1">
      <alignment horizontal="left" wrapText="1"/>
    </xf>
    <xf numFmtId="0" fontId="128" fillId="0" borderId="0" xfId="0" applyFont="1" applyAlignment="1">
      <alignment horizontal="left"/>
    </xf>
    <xf numFmtId="0" fontId="102" fillId="0" borderId="0" xfId="0" applyFont="1" applyBorder="1" applyAlignment="1">
      <alignment horizontal="left" wrapText="1"/>
    </xf>
    <xf numFmtId="0" fontId="120" fillId="28" borderId="36" xfId="0" applyFont="1" applyFill="1" applyBorder="1" applyAlignment="1">
      <alignment horizontal="center" wrapText="1"/>
    </xf>
    <xf numFmtId="0" fontId="120" fillId="28" borderId="51" xfId="0" applyFont="1" applyFill="1" applyBorder="1" applyAlignment="1">
      <alignment horizontal="center" wrapText="1"/>
    </xf>
    <xf numFmtId="0" fontId="124" fillId="27" borderId="10" xfId="0" applyFont="1" applyFill="1" applyBorder="1" applyAlignment="1">
      <alignment horizontal="center" vertical="center" wrapText="1"/>
    </xf>
    <xf numFmtId="0" fontId="124" fillId="27" borderId="13" xfId="0" applyFont="1" applyFill="1" applyBorder="1" applyAlignment="1">
      <alignment horizontal="center" vertical="center" wrapText="1"/>
    </xf>
    <xf numFmtId="0" fontId="124" fillId="25" borderId="10" xfId="0" applyFont="1" applyFill="1" applyBorder="1" applyAlignment="1">
      <alignment horizontal="center" vertical="center" wrapText="1"/>
    </xf>
    <xf numFmtId="0" fontId="124" fillId="25" borderId="13" xfId="0" applyFont="1" applyFill="1" applyBorder="1" applyAlignment="1">
      <alignment horizontal="center" vertical="center" wrapText="1"/>
    </xf>
    <xf numFmtId="0" fontId="124" fillId="29" borderId="10" xfId="0" applyFont="1" applyFill="1" applyBorder="1" applyAlignment="1">
      <alignment horizontal="center" vertical="center" wrapText="1"/>
    </xf>
    <xf numFmtId="0" fontId="124" fillId="29" borderId="13" xfId="0" applyFont="1" applyFill="1" applyBorder="1" applyAlignment="1">
      <alignment horizontal="center" vertical="center" wrapText="1"/>
    </xf>
    <xf numFmtId="0" fontId="131" fillId="50" borderId="36" xfId="0" applyFont="1" applyFill="1" applyBorder="1" applyAlignment="1">
      <alignment horizontal="center" vertical="center" wrapText="1"/>
    </xf>
    <xf numFmtId="0" fontId="131" fillId="50" borderId="51" xfId="0" applyFont="1" applyFill="1" applyBorder="1" applyAlignment="1">
      <alignment horizontal="center" vertical="center" wrapText="1"/>
    </xf>
    <xf numFmtId="0" fontId="131" fillId="50" borderId="42" xfId="0" applyFont="1" applyFill="1" applyBorder="1" applyAlignment="1">
      <alignment horizontal="center" vertical="center" wrapText="1"/>
    </xf>
    <xf numFmtId="0" fontId="127" fillId="29" borderId="10" xfId="0" applyFont="1" applyFill="1" applyBorder="1" applyAlignment="1">
      <alignment horizontal="center" vertical="center" wrapText="1"/>
    </xf>
    <xf numFmtId="0" fontId="127" fillId="29" borderId="13" xfId="0" applyFont="1" applyFill="1" applyBorder="1" applyAlignment="1">
      <alignment horizontal="center" vertical="center" wrapText="1"/>
    </xf>
    <xf numFmtId="0" fontId="124" fillId="42" borderId="10" xfId="0" applyFont="1" applyFill="1" applyBorder="1" applyAlignment="1">
      <alignment horizontal="center" vertical="center" wrapText="1"/>
    </xf>
    <xf numFmtId="0" fontId="124" fillId="42" borderId="13" xfId="0" applyFont="1" applyFill="1" applyBorder="1" applyAlignment="1">
      <alignment horizontal="center" vertical="center" wrapText="1"/>
    </xf>
    <xf numFmtId="0" fontId="124" fillId="53" borderId="10" xfId="0" applyFont="1" applyFill="1" applyBorder="1" applyAlignment="1">
      <alignment horizontal="center" vertical="center" wrapText="1"/>
    </xf>
    <xf numFmtId="0" fontId="124" fillId="53" borderId="13" xfId="0" applyFont="1" applyFill="1" applyBorder="1" applyAlignment="1">
      <alignment horizontal="center" vertical="center" wrapText="1"/>
    </xf>
    <xf numFmtId="0" fontId="123" fillId="37" borderId="35" xfId="0" applyFont="1" applyFill="1" applyBorder="1" applyAlignment="1" applyProtection="1">
      <alignment horizontal="center" vertical="center" wrapText="1"/>
    </xf>
    <xf numFmtId="0" fontId="123" fillId="37" borderId="80" xfId="0" quotePrefix="1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0" fontId="27" fillId="54" borderId="10" xfId="0" applyFont="1" applyFill="1" applyBorder="1" applyAlignment="1">
      <alignment horizontal="center" vertical="center" wrapText="1"/>
    </xf>
    <xf numFmtId="0" fontId="27" fillId="54" borderId="13" xfId="0" applyFont="1" applyFill="1" applyBorder="1" applyAlignment="1">
      <alignment horizontal="center" vertical="center" wrapText="1"/>
    </xf>
    <xf numFmtId="0" fontId="48" fillId="54" borderId="26" xfId="0" applyFont="1" applyFill="1" applyBorder="1" applyAlignment="1">
      <alignment horizontal="center" vertical="center"/>
    </xf>
    <xf numFmtId="0" fontId="27" fillId="55" borderId="10" xfId="0" applyFont="1" applyFill="1" applyBorder="1" applyAlignment="1">
      <alignment horizontal="center" vertical="center" wrapText="1"/>
    </xf>
    <xf numFmtId="0" fontId="27" fillId="55" borderId="13" xfId="0" applyFont="1" applyFill="1" applyBorder="1" applyAlignment="1">
      <alignment horizontal="center" vertical="center" wrapText="1"/>
    </xf>
    <xf numFmtId="0" fontId="107" fillId="0" borderId="0" xfId="0" applyFont="1" applyBorder="1" applyAlignment="1">
      <alignment horizontal="left" wrapText="1"/>
    </xf>
    <xf numFmtId="0" fontId="27" fillId="58" borderId="10" xfId="0" applyFont="1" applyFill="1" applyBorder="1" applyAlignment="1">
      <alignment horizontal="center" vertical="center" wrapText="1"/>
    </xf>
    <xf numFmtId="0" fontId="27" fillId="58" borderId="13" xfId="0" applyFont="1" applyFill="1" applyBorder="1" applyAlignment="1">
      <alignment horizontal="center" vertical="center" wrapText="1"/>
    </xf>
    <xf numFmtId="0" fontId="19" fillId="52" borderId="0" xfId="0" applyFont="1" applyFill="1" applyAlignment="1">
      <alignment horizontal="center" vertical="center" wrapText="1"/>
    </xf>
    <xf numFmtId="0" fontId="66" fillId="38" borderId="36" xfId="0" applyFont="1" applyFill="1" applyBorder="1" applyAlignment="1" applyProtection="1">
      <alignment horizontal="center" vertical="center" wrapText="1"/>
    </xf>
    <xf numFmtId="0" fontId="66" fillId="38" borderId="42" xfId="0" quotePrefix="1" applyFont="1" applyFill="1" applyBorder="1" applyAlignment="1" applyProtection="1">
      <alignment horizontal="center" vertical="center" wrapText="1"/>
    </xf>
    <xf numFmtId="15" fontId="27" fillId="25" borderId="10" xfId="0" applyNumberFormat="1" applyFont="1" applyFill="1" applyBorder="1" applyAlignment="1">
      <alignment horizontal="center" vertical="center" wrapText="1"/>
    </xf>
    <xf numFmtId="15" fontId="27" fillId="25" borderId="13" xfId="0" applyNumberFormat="1" applyFont="1" applyFill="1" applyBorder="1" applyAlignment="1">
      <alignment horizontal="center" vertical="center" wrapText="1"/>
    </xf>
    <xf numFmtId="0" fontId="27" fillId="28" borderId="10" xfId="0" applyFont="1" applyFill="1" applyBorder="1" applyAlignment="1">
      <alignment horizontal="center" vertical="center" wrapText="1"/>
    </xf>
    <xf numFmtId="0" fontId="27" fillId="28" borderId="13" xfId="0" applyFont="1" applyFill="1" applyBorder="1" applyAlignment="1">
      <alignment horizontal="center" vertical="center" wrapText="1"/>
    </xf>
    <xf numFmtId="49" fontId="66" fillId="54" borderId="36" xfId="53" applyNumberFormat="1" applyFont="1" applyFill="1" applyBorder="1" applyAlignment="1">
      <alignment horizontal="center" vertical="center" wrapText="1"/>
    </xf>
    <xf numFmtId="49" fontId="66" fillId="54" borderId="51" xfId="53" applyNumberFormat="1" applyFont="1" applyFill="1" applyBorder="1" applyAlignment="1">
      <alignment horizontal="center" vertical="center" wrapText="1"/>
    </xf>
    <xf numFmtId="49" fontId="66" fillId="54" borderId="42" xfId="53" applyNumberFormat="1" applyFont="1" applyFill="1" applyBorder="1" applyAlignment="1">
      <alignment horizontal="center" vertical="center" wrapText="1"/>
    </xf>
    <xf numFmtId="49" fontId="27" fillId="44" borderId="10" xfId="53" applyNumberFormat="1" applyFont="1" applyFill="1" applyBorder="1" applyAlignment="1">
      <alignment horizontal="center" vertical="center" wrapText="1"/>
    </xf>
    <xf numFmtId="49" fontId="27" fillId="44" borderId="11" xfId="53" applyNumberFormat="1" applyFont="1" applyFill="1" applyBorder="1" applyAlignment="1">
      <alignment horizontal="center" vertical="center" wrapText="1"/>
    </xf>
    <xf numFmtId="49" fontId="27" fillId="44" borderId="13" xfId="53" applyNumberFormat="1" applyFont="1" applyFill="1" applyBorder="1" applyAlignment="1">
      <alignment horizontal="center" vertical="center" wrapText="1"/>
    </xf>
    <xf numFmtId="49" fontId="27" fillId="42" borderId="10" xfId="53" applyNumberFormat="1" applyFont="1" applyFill="1" applyBorder="1" applyAlignment="1">
      <alignment horizontal="center" vertical="center" wrapText="1"/>
    </xf>
    <xf numFmtId="49" fontId="27" fillId="42" borderId="13" xfId="53" applyNumberFormat="1" applyFont="1" applyFill="1" applyBorder="1" applyAlignment="1">
      <alignment horizontal="center" vertical="center" wrapText="1"/>
    </xf>
    <xf numFmtId="49" fontId="27" fillId="42" borderId="221" xfId="53" applyNumberFormat="1" applyFont="1" applyFill="1" applyBorder="1" applyAlignment="1">
      <alignment horizontal="center" vertical="center" wrapText="1"/>
    </xf>
    <xf numFmtId="49" fontId="27" fillId="43" borderId="10" xfId="53" applyNumberFormat="1" applyFont="1" applyFill="1" applyBorder="1" applyAlignment="1">
      <alignment horizontal="center" vertical="center" wrapText="1"/>
    </xf>
    <xf numFmtId="49" fontId="27" fillId="43" borderId="13" xfId="53" applyNumberFormat="1" applyFont="1" applyFill="1" applyBorder="1" applyAlignment="1">
      <alignment horizontal="center" vertical="center" wrapText="1"/>
    </xf>
    <xf numFmtId="0" fontId="99" fillId="25" borderId="33" xfId="0" applyFont="1" applyFill="1" applyBorder="1" applyAlignment="1">
      <alignment horizontal="center" vertical="center" wrapText="1"/>
    </xf>
    <xf numFmtId="0" fontId="99" fillId="25" borderId="44" xfId="0" applyFont="1" applyFill="1" applyBorder="1" applyAlignment="1">
      <alignment horizontal="center" vertical="center" wrapText="1"/>
    </xf>
    <xf numFmtId="0" fontId="99" fillId="25" borderId="34" xfId="0" applyFont="1" applyFill="1" applyBorder="1" applyAlignment="1">
      <alignment horizontal="center" vertical="center" wrapText="1"/>
    </xf>
    <xf numFmtId="0" fontId="99" fillId="25" borderId="45" xfId="0" applyFont="1" applyFill="1" applyBorder="1" applyAlignment="1">
      <alignment horizontal="center" vertical="center" wrapText="1"/>
    </xf>
    <xf numFmtId="0" fontId="99" fillId="25" borderId="35" xfId="0" applyFont="1" applyFill="1" applyBorder="1" applyAlignment="1">
      <alignment horizontal="center" vertical="center" wrapText="1"/>
    </xf>
    <xf numFmtId="0" fontId="99" fillId="25" borderId="80" xfId="0" applyFont="1" applyFill="1" applyBorder="1" applyAlignment="1">
      <alignment horizontal="center" vertical="center" wrapText="1"/>
    </xf>
    <xf numFmtId="49" fontId="27" fillId="42" borderId="26" xfId="53" applyNumberFormat="1" applyFont="1" applyFill="1" applyBorder="1" applyAlignment="1">
      <alignment horizontal="center" vertical="center" wrapText="1"/>
    </xf>
    <xf numFmtId="49" fontId="66" fillId="27" borderId="34" xfId="53" applyNumberFormat="1" applyFont="1" applyFill="1" applyBorder="1" applyAlignment="1">
      <alignment horizontal="center" vertical="center" wrapText="1"/>
    </xf>
    <xf numFmtId="49" fontId="66" fillId="27" borderId="0" xfId="53" applyNumberFormat="1" applyFont="1" applyFill="1" applyBorder="1" applyAlignment="1">
      <alignment horizontal="center" vertical="center" wrapText="1"/>
    </xf>
    <xf numFmtId="49" fontId="66" fillId="27" borderId="45" xfId="53" applyNumberFormat="1" applyFont="1" applyFill="1" applyBorder="1" applyAlignment="1">
      <alignment horizontal="center" vertical="center" wrapText="1"/>
    </xf>
    <xf numFmtId="49" fontId="27" fillId="43" borderId="44" xfId="53" applyNumberFormat="1" applyFont="1" applyFill="1" applyBorder="1" applyAlignment="1">
      <alignment horizontal="center" vertical="center" wrapText="1"/>
    </xf>
    <xf numFmtId="49" fontId="27" fillId="43" borderId="80" xfId="53" applyNumberFormat="1" applyFont="1" applyFill="1" applyBorder="1" applyAlignment="1">
      <alignment horizontal="center" vertical="center" wrapText="1"/>
    </xf>
    <xf numFmtId="0" fontId="99" fillId="43" borderId="33" xfId="0" applyFont="1" applyFill="1" applyBorder="1" applyAlignment="1">
      <alignment horizontal="center" vertical="center" wrapText="1"/>
    </xf>
    <xf numFmtId="0" fontId="99" fillId="43" borderId="44" xfId="0" applyFont="1" applyFill="1" applyBorder="1" applyAlignment="1">
      <alignment horizontal="center" vertical="center" wrapText="1"/>
    </xf>
    <xf numFmtId="0" fontId="99" fillId="43" borderId="34" xfId="0" applyFont="1" applyFill="1" applyBorder="1" applyAlignment="1">
      <alignment horizontal="center" vertical="center" wrapText="1"/>
    </xf>
    <xf numFmtId="0" fontId="99" fillId="43" borderId="45" xfId="0" applyFont="1" applyFill="1" applyBorder="1" applyAlignment="1">
      <alignment horizontal="center" vertical="center" wrapText="1"/>
    </xf>
    <xf numFmtId="0" fontId="99" fillId="43" borderId="35" xfId="0" applyFont="1" applyFill="1" applyBorder="1" applyAlignment="1">
      <alignment horizontal="center" vertical="center" wrapText="1"/>
    </xf>
    <xf numFmtId="0" fontId="99" fillId="43" borderId="80" xfId="0" applyFont="1" applyFill="1" applyBorder="1" applyAlignment="1">
      <alignment horizontal="center" vertical="center" wrapText="1"/>
    </xf>
    <xf numFmtId="0" fontId="99" fillId="56" borderId="33" xfId="0" applyFont="1" applyFill="1" applyBorder="1" applyAlignment="1">
      <alignment horizontal="center" vertical="center" wrapText="1"/>
    </xf>
    <xf numFmtId="0" fontId="99" fillId="56" borderId="44" xfId="0" applyFont="1" applyFill="1" applyBorder="1" applyAlignment="1">
      <alignment horizontal="center" vertical="center" wrapText="1"/>
    </xf>
    <xf numFmtId="0" fontId="99" fillId="56" borderId="34" xfId="0" applyFont="1" applyFill="1" applyBorder="1" applyAlignment="1">
      <alignment horizontal="center" vertical="center" wrapText="1"/>
    </xf>
    <xf numFmtId="0" fontId="99" fillId="56" borderId="45" xfId="0" applyFont="1" applyFill="1" applyBorder="1" applyAlignment="1">
      <alignment horizontal="center" vertical="center" wrapText="1"/>
    </xf>
    <xf numFmtId="0" fontId="99" fillId="56" borderId="35" xfId="0" applyFont="1" applyFill="1" applyBorder="1" applyAlignment="1">
      <alignment horizontal="center" vertical="center" wrapText="1"/>
    </xf>
    <xf numFmtId="0" fontId="99" fillId="56" borderId="80" xfId="0" applyFont="1" applyFill="1" applyBorder="1" applyAlignment="1">
      <alignment horizontal="center" vertical="center" wrapText="1"/>
    </xf>
    <xf numFmtId="49" fontId="66" fillId="27" borderId="226" xfId="53" applyNumberFormat="1" applyFont="1" applyFill="1" applyBorder="1" applyAlignment="1">
      <alignment horizontal="center" vertical="center" wrapText="1"/>
    </xf>
    <xf numFmtId="49" fontId="66" fillId="27" borderId="218" xfId="53" applyNumberFormat="1" applyFont="1" applyFill="1" applyBorder="1" applyAlignment="1">
      <alignment horizontal="center" vertical="center" wrapText="1"/>
    </xf>
    <xf numFmtId="49" fontId="66" fillId="27" borderId="14" xfId="53" applyNumberFormat="1" applyFont="1" applyFill="1" applyBorder="1" applyAlignment="1">
      <alignment horizontal="center" vertical="center" wrapText="1"/>
    </xf>
    <xf numFmtId="49" fontId="66" fillId="27" borderId="80" xfId="53" applyNumberFormat="1" applyFont="1" applyFill="1" applyBorder="1" applyAlignment="1">
      <alignment horizontal="center" vertical="center" wrapText="1"/>
    </xf>
    <xf numFmtId="49" fontId="27" fillId="44" borderId="221" xfId="53" applyNumberFormat="1" applyFont="1" applyFill="1" applyBorder="1" applyAlignment="1">
      <alignment horizontal="center" vertical="center" wrapText="1"/>
    </xf>
    <xf numFmtId="49" fontId="27" fillId="44" borderId="223" xfId="53" applyNumberFormat="1" applyFont="1" applyFill="1" applyBorder="1" applyAlignment="1">
      <alignment horizontal="center" vertical="center" wrapText="1"/>
    </xf>
    <xf numFmtId="0" fontId="27" fillId="43" borderId="221" xfId="0" applyFont="1" applyFill="1" applyBorder="1" applyAlignment="1">
      <alignment horizontal="center" vertical="center" wrapText="1"/>
    </xf>
    <xf numFmtId="0" fontId="99" fillId="25" borderId="33" xfId="53" applyFont="1" applyFill="1" applyBorder="1" applyAlignment="1">
      <alignment horizontal="center" vertical="center" wrapText="1"/>
    </xf>
    <xf numFmtId="0" fontId="99" fillId="25" borderId="44" xfId="53" applyFont="1" applyFill="1" applyBorder="1" applyAlignment="1">
      <alignment horizontal="center" vertical="center" wrapText="1"/>
    </xf>
    <xf numFmtId="0" fontId="99" fillId="25" borderId="34" xfId="53" applyFont="1" applyFill="1" applyBorder="1" applyAlignment="1">
      <alignment horizontal="center" vertical="center" wrapText="1"/>
    </xf>
    <xf numFmtId="0" fontId="99" fillId="25" borderId="45" xfId="53" applyFont="1" applyFill="1" applyBorder="1" applyAlignment="1">
      <alignment horizontal="center" vertical="center" wrapText="1"/>
    </xf>
    <xf numFmtId="0" fontId="99" fillId="25" borderId="35" xfId="53" applyFont="1" applyFill="1" applyBorder="1" applyAlignment="1">
      <alignment horizontal="center" vertical="center" wrapText="1"/>
    </xf>
    <xf numFmtId="0" fontId="99" fillId="25" borderId="80" xfId="53" applyFont="1" applyFill="1" applyBorder="1" applyAlignment="1">
      <alignment horizontal="center" vertical="center" wrapText="1"/>
    </xf>
    <xf numFmtId="15" fontId="133" fillId="42" borderId="10" xfId="53" applyNumberFormat="1" applyFont="1" applyFill="1" applyBorder="1" applyAlignment="1">
      <alignment horizontal="center" vertical="center" wrapText="1"/>
    </xf>
    <xf numFmtId="15" fontId="27" fillId="42" borderId="13" xfId="53" applyNumberFormat="1" applyFont="1" applyFill="1" applyBorder="1" applyAlignment="1">
      <alignment horizontal="center" vertical="center" wrapText="1"/>
    </xf>
    <xf numFmtId="0" fontId="99" fillId="25" borderId="26" xfId="0" applyFont="1" applyFill="1" applyBorder="1" applyAlignment="1">
      <alignment horizontal="center" vertical="center" wrapText="1"/>
    </xf>
    <xf numFmtId="0" fontId="99" fillId="25" borderId="26" xfId="0" applyFont="1" applyFill="1" applyBorder="1" applyAlignment="1">
      <alignment horizontal="center" vertical="center"/>
    </xf>
    <xf numFmtId="15" fontId="27" fillId="56" borderId="10" xfId="0" applyNumberFormat="1" applyFont="1" applyFill="1" applyBorder="1" applyAlignment="1">
      <alignment horizontal="center" vertical="center" wrapText="1"/>
    </xf>
    <xf numFmtId="15" fontId="27" fillId="56" borderId="13" xfId="0" applyNumberFormat="1" applyFont="1" applyFill="1" applyBorder="1" applyAlignment="1">
      <alignment horizontal="center" vertical="center" wrapText="1"/>
    </xf>
    <xf numFmtId="0" fontId="27" fillId="39" borderId="26" xfId="0" quotePrefix="1" applyFont="1" applyFill="1" applyBorder="1" applyAlignment="1">
      <alignment horizontal="center" vertical="center" wrapText="1"/>
    </xf>
    <xf numFmtId="0" fontId="27" fillId="54" borderId="26" xfId="0" applyFont="1" applyFill="1" applyBorder="1" applyAlignment="1">
      <alignment horizontal="center" vertical="center" wrapText="1"/>
    </xf>
    <xf numFmtId="0" fontId="46" fillId="29" borderId="10" xfId="0" applyFont="1" applyFill="1" applyBorder="1" applyAlignment="1">
      <alignment horizontal="center" vertical="center" wrapText="1"/>
    </xf>
    <xf numFmtId="0" fontId="109" fillId="59" borderId="10" xfId="0" applyFont="1" applyFill="1" applyBorder="1" applyAlignment="1">
      <alignment horizontal="center" vertical="center" wrapText="1"/>
    </xf>
    <xf numFmtId="0" fontId="109" fillId="59" borderId="13" xfId="0" applyFont="1" applyFill="1" applyBorder="1" applyAlignment="1">
      <alignment horizontal="center" vertical="center" wrapText="1"/>
    </xf>
    <xf numFmtId="0" fontId="27" fillId="59" borderId="10" xfId="0" applyFont="1" applyFill="1" applyBorder="1" applyAlignment="1">
      <alignment horizontal="center" vertical="center" wrapText="1"/>
    </xf>
    <xf numFmtId="0" fontId="27" fillId="59" borderId="13" xfId="0" applyFont="1" applyFill="1" applyBorder="1" applyAlignment="1">
      <alignment horizontal="center" vertical="center" wrapText="1"/>
    </xf>
    <xf numFmtId="0" fontId="109" fillId="29" borderId="11" xfId="0" applyFont="1" applyFill="1" applyBorder="1" applyAlignment="1">
      <alignment horizontal="center" vertical="center" wrapText="1"/>
    </xf>
    <xf numFmtId="0" fontId="109" fillId="29" borderId="13" xfId="0" applyFont="1" applyFill="1" applyBorder="1" applyAlignment="1">
      <alignment horizontal="center" vertical="center" wrapText="1"/>
    </xf>
    <xf numFmtId="6" fontId="100" fillId="0" borderId="0" xfId="0" applyNumberFormat="1" applyFont="1" applyBorder="1" applyAlignment="1">
      <alignment horizontal="left" wrapText="1"/>
    </xf>
    <xf numFmtId="0" fontId="27" fillId="51" borderId="10" xfId="0" applyFont="1" applyFill="1" applyBorder="1" applyAlignment="1">
      <alignment horizontal="center" vertical="center" wrapText="1"/>
    </xf>
    <xf numFmtId="0" fontId="27" fillId="51" borderId="13" xfId="0" applyFont="1" applyFill="1" applyBorder="1" applyAlignment="1">
      <alignment horizontal="center" vertical="center" wrapText="1"/>
    </xf>
    <xf numFmtId="0" fontId="27" fillId="39" borderId="10" xfId="0" applyFont="1" applyFill="1" applyBorder="1" applyAlignment="1">
      <alignment horizontal="center" vertical="center" wrapText="1"/>
    </xf>
    <xf numFmtId="0" fontId="27" fillId="39" borderId="13" xfId="0" quotePrefix="1" applyFont="1" applyFill="1" applyBorder="1" applyAlignment="1">
      <alignment horizontal="center" vertical="center" wrapText="1"/>
    </xf>
    <xf numFmtId="0" fontId="109" fillId="29" borderId="10" xfId="0" applyFont="1" applyFill="1" applyBorder="1" applyAlignment="1">
      <alignment horizontal="center" vertical="center" wrapText="1"/>
    </xf>
    <xf numFmtId="0" fontId="143" fillId="0" borderId="0" xfId="53" applyFont="1" applyBorder="1" applyAlignment="1">
      <alignment horizontal="left" wrapText="1"/>
    </xf>
    <xf numFmtId="0" fontId="52" fillId="0" borderId="0" xfId="53" applyFont="1" applyBorder="1" applyAlignment="1">
      <alignment horizontal="center"/>
    </xf>
    <xf numFmtId="0" fontId="52" fillId="41" borderId="0" xfId="53" applyFont="1" applyFill="1" applyBorder="1" applyAlignment="1">
      <alignment horizontal="left"/>
    </xf>
    <xf numFmtId="0" fontId="99" fillId="25" borderId="221" xfId="53" applyFont="1" applyFill="1" applyBorder="1" applyAlignment="1">
      <alignment horizontal="center" vertical="center"/>
    </xf>
    <xf numFmtId="0" fontId="99" fillId="25" borderId="223" xfId="53" applyFont="1" applyFill="1" applyBorder="1" applyAlignment="1">
      <alignment horizontal="center" vertical="center"/>
    </xf>
    <xf numFmtId="0" fontId="99" fillId="25" borderId="13" xfId="53" applyFont="1" applyFill="1" applyBorder="1" applyAlignment="1">
      <alignment horizontal="center" vertical="center"/>
    </xf>
    <xf numFmtId="0" fontId="27" fillId="35" borderId="221" xfId="53" applyFont="1" applyFill="1" applyBorder="1" applyAlignment="1">
      <alignment horizontal="center" vertical="center" wrapText="1"/>
    </xf>
    <xf numFmtId="0" fontId="27" fillId="35" borderId="223" xfId="53" applyFont="1" applyFill="1" applyBorder="1" applyAlignment="1">
      <alignment horizontal="center" vertical="center" wrapText="1"/>
    </xf>
    <xf numFmtId="0" fontId="27" fillId="35" borderId="13" xfId="53" applyFont="1" applyFill="1" applyBorder="1" applyAlignment="1">
      <alignment horizontal="center" vertical="center" wrapText="1"/>
    </xf>
    <xf numFmtId="0" fontId="27" fillId="25" borderId="221" xfId="53" applyFont="1" applyFill="1" applyBorder="1" applyAlignment="1">
      <alignment horizontal="center" vertical="center" wrapText="1"/>
    </xf>
    <xf numFmtId="0" fontId="27" fillId="25" borderId="223" xfId="53" applyFont="1" applyFill="1" applyBorder="1" applyAlignment="1">
      <alignment horizontal="center" vertical="center" wrapText="1"/>
    </xf>
    <xf numFmtId="0" fontId="27" fillId="25" borderId="13" xfId="53" applyFont="1" applyFill="1" applyBorder="1" applyAlignment="1">
      <alignment horizontal="center" vertical="center" wrapText="1"/>
    </xf>
    <xf numFmtId="6" fontId="27" fillId="35" borderId="221" xfId="53" applyNumberFormat="1" applyFont="1" applyFill="1" applyBorder="1" applyAlignment="1">
      <alignment horizontal="center" vertical="center" wrapText="1"/>
    </xf>
    <xf numFmtId="6" fontId="27" fillId="35" borderId="223" xfId="53" applyNumberFormat="1" applyFont="1" applyFill="1" applyBorder="1" applyAlignment="1">
      <alignment horizontal="center" vertical="center" wrapText="1"/>
    </xf>
    <xf numFmtId="6" fontId="27" fillId="35" borderId="13" xfId="53" applyNumberFormat="1" applyFont="1" applyFill="1" applyBorder="1" applyAlignment="1">
      <alignment horizontal="center" vertical="center" wrapText="1"/>
    </xf>
    <xf numFmtId="0" fontId="115" fillId="31" borderId="218" xfId="53" applyFont="1" applyFill="1" applyBorder="1" applyAlignment="1">
      <alignment horizontal="center" vertical="center" wrapText="1"/>
    </xf>
    <xf numFmtId="0" fontId="115" fillId="31" borderId="218" xfId="53" applyFont="1" applyFill="1" applyBorder="1" applyAlignment="1">
      <alignment horizontal="center" vertical="center"/>
    </xf>
    <xf numFmtId="6" fontId="27" fillId="25" borderId="221" xfId="53" applyNumberFormat="1" applyFont="1" applyFill="1" applyBorder="1" applyAlignment="1">
      <alignment horizontal="center" vertical="center" wrapText="1"/>
    </xf>
    <xf numFmtId="6" fontId="27" fillId="25" borderId="13" xfId="53" applyNumberFormat="1" applyFont="1" applyFill="1" applyBorder="1" applyAlignment="1">
      <alignment horizontal="center" vertical="center" wrapText="1"/>
    </xf>
    <xf numFmtId="6" fontId="27" fillId="25" borderId="13" xfId="53" quotePrefix="1" applyNumberFormat="1" applyFont="1" applyFill="1" applyBorder="1" applyAlignment="1">
      <alignment horizontal="center" vertical="center" wrapText="1"/>
    </xf>
    <xf numFmtId="0" fontId="72" fillId="0" borderId="0" xfId="53" applyFont="1" applyFill="1" applyBorder="1" applyAlignment="1">
      <alignment horizontal="left"/>
    </xf>
    <xf numFmtId="0" fontId="27" fillId="27" borderId="221" xfId="53" applyFont="1" applyFill="1" applyBorder="1" applyAlignment="1">
      <alignment horizontal="center" vertical="center" wrapText="1"/>
    </xf>
    <xf numFmtId="0" fontId="27" fillId="27" borderId="223" xfId="53" applyFont="1" applyFill="1" applyBorder="1" applyAlignment="1">
      <alignment horizontal="center" vertical="center" wrapText="1"/>
    </xf>
    <xf numFmtId="0" fontId="27" fillId="27" borderId="13" xfId="53" applyFont="1" applyFill="1" applyBorder="1" applyAlignment="1">
      <alignment horizontal="center" vertical="center" wrapText="1"/>
    </xf>
    <xf numFmtId="0" fontId="12" fillId="27" borderId="221" xfId="53" applyFont="1" applyFill="1" applyBorder="1" applyAlignment="1">
      <alignment horizontal="center" vertical="center" wrapText="1"/>
    </xf>
    <xf numFmtId="0" fontId="12" fillId="27" borderId="223" xfId="53" applyFont="1" applyFill="1" applyBorder="1" applyAlignment="1">
      <alignment horizontal="center" vertical="center" wrapText="1"/>
    </xf>
    <xf numFmtId="0" fontId="12" fillId="27" borderId="13" xfId="53" applyFont="1" applyFill="1" applyBorder="1" applyAlignment="1">
      <alignment horizontal="center" vertical="center" wrapText="1"/>
    </xf>
    <xf numFmtId="0" fontId="27" fillId="25" borderId="33" xfId="0" applyFont="1" applyFill="1" applyBorder="1" applyAlignment="1" applyProtection="1">
      <alignment horizontal="center" vertical="center" wrapText="1"/>
    </xf>
    <xf numFmtId="0" fontId="27" fillId="25" borderId="44" xfId="0" applyFont="1" applyFill="1" applyBorder="1" applyAlignment="1" applyProtection="1">
      <alignment horizontal="center" vertical="center" wrapText="1"/>
    </xf>
    <xf numFmtId="0" fontId="27" fillId="25" borderId="34" xfId="0" applyFont="1" applyFill="1" applyBorder="1" applyAlignment="1" applyProtection="1">
      <alignment horizontal="center" vertical="center" wrapText="1"/>
    </xf>
    <xf numFmtId="0" fontId="27" fillId="25" borderId="45" xfId="0" applyFont="1" applyFill="1" applyBorder="1" applyAlignment="1" applyProtection="1">
      <alignment horizontal="center" vertical="center" wrapText="1"/>
    </xf>
    <xf numFmtId="0" fontId="27" fillId="25" borderId="35" xfId="0" applyFont="1" applyFill="1" applyBorder="1" applyAlignment="1" applyProtection="1">
      <alignment horizontal="center" vertical="center" wrapText="1"/>
    </xf>
    <xf numFmtId="0" fontId="27" fillId="25" borderId="80" xfId="0" applyFont="1" applyFill="1" applyBorder="1" applyAlignment="1" applyProtection="1">
      <alignment horizontal="center" vertical="center" wrapText="1"/>
    </xf>
    <xf numFmtId="49" fontId="27" fillId="44" borderId="10" xfId="0" applyNumberFormat="1" applyFont="1" applyFill="1" applyBorder="1" applyAlignment="1">
      <alignment horizontal="center" vertical="center" wrapText="1"/>
    </xf>
    <xf numFmtId="49" fontId="27" fillId="44" borderId="11" xfId="0" applyNumberFormat="1" applyFont="1" applyFill="1" applyBorder="1" applyAlignment="1">
      <alignment horizontal="center" vertical="center" wrapText="1"/>
    </xf>
    <xf numFmtId="49" fontId="27" fillId="44" borderId="13" xfId="0" applyNumberFormat="1" applyFont="1" applyFill="1" applyBorder="1" applyAlignment="1">
      <alignment horizontal="center" vertical="center" wrapText="1"/>
    </xf>
    <xf numFmtId="49" fontId="27" fillId="42" borderId="10" xfId="0" applyNumberFormat="1" applyFont="1" applyFill="1" applyBorder="1" applyAlignment="1">
      <alignment horizontal="center" vertical="center" wrapText="1"/>
    </xf>
    <xf numFmtId="49" fontId="27" fillId="42" borderId="13" xfId="0" applyNumberFormat="1" applyFont="1" applyFill="1" applyBorder="1" applyAlignment="1">
      <alignment horizontal="center" vertical="center" wrapText="1"/>
    </xf>
    <xf numFmtId="49" fontId="27" fillId="42" borderId="26" xfId="0" applyNumberFormat="1" applyFont="1" applyFill="1" applyBorder="1" applyAlignment="1">
      <alignment horizontal="center" vertical="center" wrapText="1"/>
    </xf>
    <xf numFmtId="49" fontId="66" fillId="27" borderId="34" xfId="0" applyNumberFormat="1" applyFont="1" applyFill="1" applyBorder="1" applyAlignment="1">
      <alignment horizontal="center" vertical="center" wrapText="1"/>
    </xf>
    <xf numFmtId="49" fontId="66" fillId="27" borderId="0" xfId="0" applyNumberFormat="1" applyFont="1" applyFill="1" applyBorder="1" applyAlignment="1">
      <alignment horizontal="center" vertical="center" wrapText="1"/>
    </xf>
    <xf numFmtId="49" fontId="66" fillId="27" borderId="45" xfId="0" applyNumberFormat="1" applyFont="1" applyFill="1" applyBorder="1" applyAlignment="1">
      <alignment horizontal="center" vertical="center" wrapText="1"/>
    </xf>
    <xf numFmtId="49" fontId="66" fillId="54" borderId="36" xfId="0" applyNumberFormat="1" applyFont="1" applyFill="1" applyBorder="1" applyAlignment="1">
      <alignment horizontal="center" vertical="center" wrapText="1"/>
    </xf>
    <xf numFmtId="49" fontId="66" fillId="54" borderId="51" xfId="0" applyNumberFormat="1" applyFont="1" applyFill="1" applyBorder="1" applyAlignment="1">
      <alignment horizontal="center" vertical="center" wrapText="1"/>
    </xf>
    <xf numFmtId="49" fontId="66" fillId="54" borderId="42" xfId="0" applyNumberFormat="1" applyFont="1" applyFill="1" applyBorder="1" applyAlignment="1">
      <alignment horizontal="center" vertical="center" wrapText="1"/>
    </xf>
    <xf numFmtId="166" fontId="10" fillId="41" borderId="0" xfId="30" applyNumberFormat="1" applyFont="1" applyFill="1" applyBorder="1" applyAlignment="1" applyProtection="1">
      <alignment horizontal="left" wrapText="1"/>
    </xf>
    <xf numFmtId="49" fontId="27" fillId="43" borderId="10" xfId="0" applyNumberFormat="1" applyFont="1" applyFill="1" applyBorder="1" applyAlignment="1">
      <alignment horizontal="center" vertical="center" wrapText="1"/>
    </xf>
    <xf numFmtId="49" fontId="27" fillId="43" borderId="13" xfId="0" applyNumberFormat="1" applyFont="1" applyFill="1" applyBorder="1" applyAlignment="1">
      <alignment horizontal="center" vertical="center" wrapText="1"/>
    </xf>
    <xf numFmtId="166" fontId="10" fillId="41" borderId="0" xfId="30" applyNumberFormat="1" applyFont="1" applyFill="1" applyBorder="1" applyAlignment="1" applyProtection="1">
      <alignment horizontal="left" vertical="top" wrapText="1"/>
    </xf>
    <xf numFmtId="49" fontId="27" fillId="43" borderId="44" xfId="0" applyNumberFormat="1" applyFont="1" applyFill="1" applyBorder="1" applyAlignment="1">
      <alignment horizontal="center" vertical="center" wrapText="1"/>
    </xf>
    <xf numFmtId="49" fontId="27" fillId="43" borderId="80" xfId="0" applyNumberFormat="1" applyFont="1" applyFill="1" applyBorder="1" applyAlignment="1">
      <alignment horizontal="center" vertical="center" wrapText="1"/>
    </xf>
    <xf numFmtId="0" fontId="27" fillId="25" borderId="11" xfId="0" applyFont="1" applyFill="1" applyBorder="1" applyAlignment="1">
      <alignment horizontal="center" vertical="center"/>
    </xf>
    <xf numFmtId="0" fontId="27" fillId="25" borderId="13" xfId="0" applyFont="1" applyFill="1" applyBorder="1" applyAlignment="1">
      <alignment horizontal="center" vertical="center"/>
    </xf>
    <xf numFmtId="0" fontId="47" fillId="27" borderId="36" xfId="0" applyFont="1" applyFill="1" applyBorder="1" applyAlignment="1">
      <alignment horizontal="center" vertical="center" wrapText="1"/>
    </xf>
    <xf numFmtId="0" fontId="47" fillId="27" borderId="51" xfId="0" applyFont="1" applyFill="1" applyBorder="1" applyAlignment="1">
      <alignment horizontal="center" vertical="center" wrapText="1"/>
    </xf>
    <xf numFmtId="0" fontId="47" fillId="27" borderId="42" xfId="0" applyFont="1" applyFill="1" applyBorder="1" applyAlignment="1">
      <alignment horizontal="center" vertical="center" wrapText="1"/>
    </xf>
    <xf numFmtId="0" fontId="27" fillId="25" borderId="26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center" vertical="center" wrapText="1"/>
    </xf>
    <xf numFmtId="0" fontId="21" fillId="25" borderId="13" xfId="0" applyFont="1" applyFill="1" applyBorder="1" applyAlignment="1">
      <alignment horizontal="center" vertical="center"/>
    </xf>
    <xf numFmtId="0" fontId="47" fillId="27" borderId="36" xfId="0" applyFont="1" applyFill="1" applyBorder="1" applyAlignment="1">
      <alignment horizontal="center" vertical="center"/>
    </xf>
    <xf numFmtId="0" fontId="47" fillId="27" borderId="51" xfId="0" applyFont="1" applyFill="1" applyBorder="1" applyAlignment="1">
      <alignment horizontal="center" vertical="center"/>
    </xf>
    <xf numFmtId="0" fontId="47" fillId="27" borderId="42" xfId="0" applyFont="1" applyFill="1" applyBorder="1" applyAlignment="1">
      <alignment horizontal="center" vertical="center"/>
    </xf>
    <xf numFmtId="0" fontId="27" fillId="25" borderId="26" xfId="0" applyFont="1" applyFill="1" applyBorder="1" applyAlignment="1">
      <alignment horizontal="center" wrapText="1"/>
    </xf>
    <xf numFmtId="0" fontId="43" fillId="25" borderId="26" xfId="0" applyFont="1" applyFill="1" applyBorder="1" applyAlignment="1">
      <alignment horizontal="center" vertical="center" wrapText="1"/>
    </xf>
    <xf numFmtId="0" fontId="43" fillId="25" borderId="26" xfId="0" applyFont="1" applyFill="1" applyBorder="1" applyAlignment="1">
      <alignment horizontal="center" wrapText="1"/>
    </xf>
    <xf numFmtId="0" fontId="36" fillId="0" borderId="36" xfId="0" applyFont="1" applyBorder="1" applyAlignment="1">
      <alignment horizontal="center" vertical="center" wrapText="1"/>
    </xf>
    <xf numFmtId="0" fontId="36" fillId="0" borderId="42" xfId="0" applyFont="1" applyBorder="1" applyAlignment="1">
      <alignment horizontal="center" vertical="center" wrapText="1"/>
    </xf>
    <xf numFmtId="0" fontId="68" fillId="27" borderId="36" xfId="0" quotePrefix="1" applyFont="1" applyFill="1" applyBorder="1" applyAlignment="1">
      <alignment horizontal="center" vertical="center"/>
    </xf>
    <xf numFmtId="0" fontId="68" fillId="27" borderId="51" xfId="0" quotePrefix="1" applyFont="1" applyFill="1" applyBorder="1" applyAlignment="1">
      <alignment horizontal="center" vertical="center"/>
    </xf>
    <xf numFmtId="0" fontId="60" fillId="0" borderId="51" xfId="0" applyFont="1" applyBorder="1" applyAlignment="1">
      <alignment horizontal="center" vertical="center"/>
    </xf>
    <xf numFmtId="0" fontId="60" fillId="0" borderId="42" xfId="0" applyFont="1" applyBorder="1" applyAlignment="1">
      <alignment horizontal="center" vertical="center"/>
    </xf>
    <xf numFmtId="0" fontId="43" fillId="27" borderId="10" xfId="0" applyFont="1" applyFill="1" applyBorder="1" applyAlignment="1">
      <alignment horizontal="center" vertical="center" wrapText="1"/>
    </xf>
    <xf numFmtId="0" fontId="64" fillId="27" borderId="11" xfId="0" applyFont="1" applyFill="1" applyBorder="1" applyAlignment="1">
      <alignment vertical="center"/>
    </xf>
    <xf numFmtId="0" fontId="64" fillId="27" borderId="13" xfId="0" applyFont="1" applyFill="1" applyBorder="1" applyAlignment="1">
      <alignment vertical="center"/>
    </xf>
    <xf numFmtId="0" fontId="43" fillId="27" borderId="10" xfId="0" quotePrefix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wrapText="1"/>
    </xf>
    <xf numFmtId="0" fontId="22" fillId="25" borderId="11" xfId="0" applyFont="1" applyFill="1" applyBorder="1" applyAlignment="1">
      <alignment horizontal="center" wrapText="1"/>
    </xf>
    <xf numFmtId="0" fontId="35" fillId="25" borderId="13" xfId="0" applyFont="1" applyFill="1" applyBorder="1" applyAlignment="1">
      <alignment horizontal="center" wrapText="1"/>
    </xf>
    <xf numFmtId="0" fontId="3" fillId="41" borderId="221" xfId="70" applyFill="1" applyBorder="1" applyAlignment="1">
      <alignment horizontal="center" wrapText="1"/>
    </xf>
    <xf numFmtId="0" fontId="3" fillId="41" borderId="223" xfId="70" applyFill="1" applyBorder="1" applyAlignment="1">
      <alignment horizontal="center"/>
    </xf>
    <xf numFmtId="0" fontId="8" fillId="0" borderId="0" xfId="53" applyBorder="1" applyAlignment="1">
      <alignment horizontal="center"/>
    </xf>
    <xf numFmtId="0" fontId="138" fillId="0" borderId="18" xfId="70" applyFont="1" applyBorder="1" applyAlignment="1"/>
    <xf numFmtId="0" fontId="8" fillId="0" borderId="155" xfId="53" applyBorder="1" applyAlignment="1">
      <alignment horizontal="center"/>
    </xf>
    <xf numFmtId="0" fontId="8" fillId="0" borderId="21" xfId="53" applyBorder="1" applyAlignment="1">
      <alignment horizontal="center"/>
    </xf>
    <xf numFmtId="0" fontId="8" fillId="0" borderId="20" xfId="53" applyBorder="1" applyAlignment="1">
      <alignment horizontal="center"/>
    </xf>
    <xf numFmtId="0" fontId="3" fillId="0" borderId="21" xfId="70" applyBorder="1" applyAlignment="1">
      <alignment horizontal="center"/>
    </xf>
    <xf numFmtId="0" fontId="3" fillId="0" borderId="20" xfId="70" applyBorder="1" applyAlignment="1">
      <alignment horizontal="center"/>
    </xf>
    <xf numFmtId="0" fontId="8" fillId="0" borderId="21" xfId="53" applyBorder="1" applyAlignment="1">
      <alignment horizontal="center" wrapText="1"/>
    </xf>
    <xf numFmtId="5" fontId="0" fillId="0" borderId="0" xfId="0" applyNumberFormat="1" applyBorder="1" applyAlignment="1">
      <alignment vertical="center"/>
    </xf>
    <xf numFmtId="6" fontId="0" fillId="0" borderId="0" xfId="0" applyNumberFormat="1" applyBorder="1"/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6" fontId="0" fillId="0" borderId="0" xfId="0" applyNumberForma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6" fontId="0" fillId="0" borderId="0" xfId="0" applyNumberForma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49" borderId="0" xfId="0" applyFill="1" applyBorder="1"/>
    <xf numFmtId="0" fontId="114" fillId="0" borderId="0" xfId="0" applyFont="1" applyBorder="1" applyAlignment="1">
      <alignment horizontal="left" wrapText="1"/>
    </xf>
    <xf numFmtId="0" fontId="48" fillId="0" borderId="0" xfId="0" applyFont="1" applyBorder="1" applyAlignment="1">
      <alignment horizontal="center" vertical="center" wrapText="1"/>
    </xf>
    <xf numFmtId="0" fontId="27" fillId="28" borderId="226" xfId="0" applyFont="1" applyFill="1" applyBorder="1" applyAlignment="1">
      <alignment horizontal="center" vertical="center" wrapText="1"/>
    </xf>
    <xf numFmtId="1" fontId="21" fillId="26" borderId="226" xfId="28" quotePrefix="1" applyNumberFormat="1" applyFont="1" applyFill="1" applyBorder="1" applyAlignment="1">
      <alignment horizontal="center"/>
    </xf>
    <xf numFmtId="10" fontId="111" fillId="0" borderId="222" xfId="48" applyNumberFormat="1" applyFont="1" applyBorder="1"/>
    <xf numFmtId="10" fontId="8" fillId="0" borderId="222" xfId="48" applyNumberFormat="1" applyFont="1" applyBorder="1"/>
    <xf numFmtId="10" fontId="111" fillId="0" borderId="35" xfId="48" applyNumberFormat="1" applyFont="1" applyBorder="1"/>
    <xf numFmtId="10" fontId="111" fillId="41" borderId="222" xfId="48" applyNumberFormat="1" applyFont="1" applyFill="1" applyBorder="1"/>
    <xf numFmtId="10" fontId="8" fillId="0" borderId="35" xfId="48" applyNumberFormat="1" applyFont="1" applyBorder="1"/>
    <xf numFmtId="10" fontId="12" fillId="0" borderId="67" xfId="48" applyNumberFormat="1" applyFont="1" applyBorder="1"/>
    <xf numFmtId="0" fontId="12" fillId="53" borderId="225" xfId="0" applyFont="1" applyFill="1" applyBorder="1" applyAlignment="1">
      <alignment horizontal="center" vertical="center" wrapText="1"/>
    </xf>
    <xf numFmtId="1" fontId="21" fillId="26" borderId="225" xfId="28" quotePrefix="1" applyNumberFormat="1" applyFont="1" applyFill="1" applyBorder="1" applyAlignment="1">
      <alignment horizontal="center"/>
    </xf>
    <xf numFmtId="38" fontId="10" fillId="0" borderId="45" xfId="0" applyNumberFormat="1" applyFont="1" applyBorder="1"/>
    <xf numFmtId="38" fontId="10" fillId="0" borderId="45" xfId="0" applyNumberFormat="1" applyFont="1" applyFill="1" applyBorder="1"/>
    <xf numFmtId="38" fontId="10" fillId="0" borderId="80" xfId="0" applyNumberFormat="1" applyFont="1" applyFill="1" applyBorder="1"/>
    <xf numFmtId="38" fontId="10" fillId="40" borderId="45" xfId="0" applyNumberFormat="1" applyFont="1" applyFill="1" applyBorder="1"/>
    <xf numFmtId="38" fontId="10" fillId="41" borderId="45" xfId="0" applyNumberFormat="1" applyFont="1" applyFill="1" applyBorder="1"/>
    <xf numFmtId="38" fontId="10" fillId="31" borderId="45" xfId="0" applyNumberFormat="1" applyFont="1" applyFill="1" applyBorder="1"/>
    <xf numFmtId="38" fontId="10" fillId="0" borderId="45" xfId="0" applyNumberFormat="1" applyFont="1" applyFill="1" applyBorder="1" applyAlignment="1">
      <alignment horizontal="right"/>
    </xf>
    <xf numFmtId="0" fontId="42" fillId="50" borderId="0" xfId="0" applyFont="1" applyFill="1" applyBorder="1" applyAlignment="1">
      <alignment horizontal="center" vertical="center" wrapText="1"/>
    </xf>
    <xf numFmtId="0" fontId="12" fillId="50" borderId="0" xfId="0" applyFont="1" applyFill="1" applyBorder="1" applyAlignment="1">
      <alignment horizontal="center" vertical="center"/>
    </xf>
    <xf numFmtId="0" fontId="12" fillId="51" borderId="0" xfId="0" applyFont="1" applyFill="1" applyBorder="1" applyAlignment="1">
      <alignment horizontal="center" vertical="center" wrapText="1"/>
    </xf>
    <xf numFmtId="0" fontId="12" fillId="51" borderId="0" xfId="0" applyFont="1" applyFill="1" applyBorder="1" applyAlignment="1">
      <alignment horizontal="center" vertical="center"/>
    </xf>
    <xf numFmtId="0" fontId="12" fillId="46" borderId="0" xfId="0" applyFont="1" applyFill="1" applyBorder="1" applyAlignment="1">
      <alignment horizontal="center" vertical="center" wrapText="1"/>
    </xf>
    <xf numFmtId="16" fontId="12" fillId="46" borderId="0" xfId="0" quotePrefix="1" applyNumberFormat="1" applyFont="1" applyFill="1" applyBorder="1" applyAlignment="1">
      <alignment horizontal="center" vertical="center"/>
    </xf>
    <xf numFmtId="0" fontId="12" fillId="46" borderId="0" xfId="0" applyFont="1" applyFill="1" applyBorder="1" applyAlignment="1">
      <alignment horizontal="center" vertical="center"/>
    </xf>
    <xf numFmtId="0" fontId="12" fillId="52" borderId="0" xfId="0" applyFont="1" applyFill="1" applyBorder="1" applyAlignment="1">
      <alignment horizontal="center" vertical="center" wrapText="1"/>
    </xf>
    <xf numFmtId="0" fontId="12" fillId="53" borderId="0" xfId="0" applyFont="1" applyFill="1" applyBorder="1" applyAlignment="1">
      <alignment horizontal="center" vertical="center" wrapText="1"/>
    </xf>
    <xf numFmtId="1" fontId="21" fillId="26" borderId="0" xfId="28" quotePrefix="1" applyNumberFormat="1" applyFont="1" applyFill="1" applyBorder="1" applyAlignment="1">
      <alignment horizontal="center"/>
    </xf>
    <xf numFmtId="3" fontId="10" fillId="0" borderId="0" xfId="0" applyNumberFormat="1" applyFont="1" applyBorder="1"/>
    <xf numFmtId="38" fontId="10" fillId="0" borderId="0" xfId="0" applyNumberFormat="1" applyFont="1" applyBorder="1"/>
    <xf numFmtId="38" fontId="10" fillId="0" borderId="0" xfId="0" applyNumberFormat="1" applyFont="1" applyFill="1" applyBorder="1"/>
    <xf numFmtId="3" fontId="10" fillId="40" borderId="0" xfId="0" applyNumberFormat="1" applyFont="1" applyFill="1" applyBorder="1"/>
    <xf numFmtId="38" fontId="10" fillId="40" borderId="0" xfId="0" applyNumberFormat="1" applyFont="1" applyFill="1" applyBorder="1"/>
    <xf numFmtId="6" fontId="10" fillId="41" borderId="0" xfId="0" applyNumberFormat="1" applyFont="1" applyFill="1" applyBorder="1"/>
    <xf numFmtId="3" fontId="10" fillId="41" borderId="0" xfId="0" applyNumberFormat="1" applyFont="1" applyFill="1" applyBorder="1"/>
    <xf numFmtId="38" fontId="10" fillId="41" borderId="0" xfId="0" applyNumberFormat="1" applyFont="1" applyFill="1" applyBorder="1"/>
    <xf numFmtId="3" fontId="10" fillId="31" borderId="0" xfId="0" applyNumberFormat="1" applyFont="1" applyFill="1" applyBorder="1"/>
    <xf numFmtId="38" fontId="10" fillId="31" borderId="0" xfId="0" applyNumberFormat="1" applyFont="1" applyFill="1" applyBorder="1"/>
    <xf numFmtId="3" fontId="10" fillId="0" borderId="0" xfId="0" applyNumberFormat="1" applyFont="1" applyFill="1" applyBorder="1" applyAlignment="1">
      <alignment horizontal="right"/>
    </xf>
    <xf numFmtId="38" fontId="10" fillId="0" borderId="0" xfId="0" applyNumberFormat="1" applyFont="1" applyFill="1" applyBorder="1" applyAlignment="1">
      <alignment horizontal="right"/>
    </xf>
    <xf numFmtId="166" fontId="12" fillId="0" borderId="0" xfId="0" applyNumberFormat="1" applyFont="1" applyBorder="1"/>
    <xf numFmtId="6" fontId="12" fillId="0" borderId="0" xfId="0" applyNumberFormat="1" applyFont="1" applyBorder="1"/>
    <xf numFmtId="3" fontId="0" fillId="0" borderId="0" xfId="0" applyNumberFormat="1" applyBorder="1"/>
    <xf numFmtId="38" fontId="0" fillId="0" borderId="0" xfId="0" applyNumberFormat="1" applyBorder="1"/>
    <xf numFmtId="171" fontId="0" fillId="0" borderId="0" xfId="0" applyNumberFormat="1" applyBorder="1"/>
    <xf numFmtId="7" fontId="11" fillId="0" borderId="0" xfId="32" applyNumberFormat="1" applyFont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8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Comma 2 2" xfId="69"/>
    <cellStyle name="Comma 3" xfId="30"/>
    <cellStyle name="Comma 3 2" xfId="54"/>
    <cellStyle name="Comma 4" xfId="31"/>
    <cellStyle name="Comma 5" xfId="57"/>
    <cellStyle name="Comma 5 2" xfId="66"/>
    <cellStyle name="Comma 5 3" xfId="79"/>
    <cellStyle name="Comma 6" xfId="63"/>
    <cellStyle name="Comma 7" xfId="73"/>
    <cellStyle name="Currency" xfId="32" builtinId="4"/>
    <cellStyle name="Currency 2" xfId="33"/>
    <cellStyle name="Currency 2 2" xfId="68"/>
    <cellStyle name="Currency 3" xfId="34"/>
    <cellStyle name="Currency 3 2" xfId="56"/>
    <cellStyle name="Explanatory Text" xfId="35" builtinId="53" customBuiltin="1"/>
    <cellStyle name="Good" xfId="36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Input" xfId="41" builtinId="20" customBuiltin="1"/>
    <cellStyle name="Linked Cell" xfId="42" builtinId="24" customBuiltin="1"/>
    <cellStyle name="Neutral" xfId="43" builtinId="28" customBuiltin="1"/>
    <cellStyle name="Normal" xfId="0" builtinId="0"/>
    <cellStyle name="Normal 10" xfId="74"/>
    <cellStyle name="Normal 11" xfId="75"/>
    <cellStyle name="Normal 12" xfId="76"/>
    <cellStyle name="Normal 2" xfId="44"/>
    <cellStyle name="Normal 2 2" xfId="65"/>
    <cellStyle name="Normal 2 3" xfId="77"/>
    <cellStyle name="Normal 2 4" xfId="78"/>
    <cellStyle name="Normal 3" xfId="53"/>
    <cellStyle name="Normal 4" xfId="60"/>
    <cellStyle name="Normal 5" xfId="61"/>
    <cellStyle name="Normal 6" xfId="62"/>
    <cellStyle name="Normal 7" xfId="70"/>
    <cellStyle name="Normal 8" xfId="58"/>
    <cellStyle name="Normal 9" xfId="59"/>
    <cellStyle name="Normal_Sheet1" xfId="45"/>
    <cellStyle name="Normal_Sheet1 2" xfId="72"/>
    <cellStyle name="Normal_Sheet1 3" xfId="64"/>
    <cellStyle name="Normal_Sheet1 3 2" xfId="71"/>
    <cellStyle name="Note" xfId="46" builtinId="10" customBuiltin="1"/>
    <cellStyle name="Output" xfId="47" builtinId="21" customBuiltin="1"/>
    <cellStyle name="Percent" xfId="48" builtinId="5"/>
    <cellStyle name="Percent 2" xfId="49"/>
    <cellStyle name="Percent 2 2" xfId="55"/>
    <cellStyle name="Percent 3" xfId="67"/>
    <cellStyle name="Title" xfId="50" builtinId="15" customBuiltin="1"/>
    <cellStyle name="Total" xfId="51" builtinId="25" customBuiltin="1"/>
    <cellStyle name="Warning Text" xfId="52" builtinId="11" customBuiltin="1"/>
  </cellStyles>
  <dxfs count="0"/>
  <tableStyles count="0" defaultTableStyle="TableStyleMedium9" defaultPivotStyle="PivotStyleLight16"/>
  <colors>
    <mruColors>
      <color rgb="FFFFFF99"/>
      <color rgb="FFFF99CC"/>
      <color rgb="FF000066"/>
      <color rgb="FFCCFFCC"/>
      <color rgb="FFB7DEE8"/>
      <color rgb="FF9999FF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8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externalLink" Target="externalLinks/externalLink11.xml"/><Relationship Id="rId47" Type="http://schemas.openxmlformats.org/officeDocument/2006/relationships/externalLink" Target="externalLinks/externalLink16.xml"/><Relationship Id="rId50" Type="http://schemas.openxmlformats.org/officeDocument/2006/relationships/externalLink" Target="externalLinks/externalLink19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externalLink" Target="externalLinks/externalLink7.xml"/><Relationship Id="rId46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0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externalLink" Target="externalLinks/externalLink6.xml"/><Relationship Id="rId40" Type="http://schemas.openxmlformats.org/officeDocument/2006/relationships/externalLink" Target="externalLinks/externalLink9.xml"/><Relationship Id="rId45" Type="http://schemas.openxmlformats.org/officeDocument/2006/relationships/externalLink" Target="externalLinks/externalLink14.xml"/><Relationship Id="rId53" Type="http://schemas.openxmlformats.org/officeDocument/2006/relationships/externalLink" Target="externalLinks/externalLink2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5.xml"/><Relationship Id="rId49" Type="http://schemas.openxmlformats.org/officeDocument/2006/relationships/externalLink" Target="externalLinks/externalLink18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3.xml"/><Relationship Id="rId52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externalLink" Target="externalLinks/externalLink12.xml"/><Relationship Id="rId48" Type="http://schemas.openxmlformats.org/officeDocument/2006/relationships/externalLink" Target="externalLinks/externalLink17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0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3-2014_tax%20and%20student%20data/Prior%20Year%20Adjusted%20Budget%20Letter/FY2012-13%20Adjusted%20BL_CAFR,%20Base%20and%20October%20midyear/Summary%20of%20Audit%20Adjustments%20for%2013-14%20MFP_state%20and%20loc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FS01\doe\mf\EFS\MFPAdm\MFP%20Budget%20Letter\2009-2010\Final%20Budget%20Letter\July%202009\FY2009-10%20MFP%20BUDGET%20LETTER_JULY%202009_Revised%20RSD%20&amp;%20OPSB%20&amp;%20EB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EDFIN_AC/Charters/2013-14/Per%20Pupil%20Calculations/Initial%20Per%20Pupil%20Amount/FY2013-14%20Initial%20Charter%20Per%20Pupil%20Amounts_July%20201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3-2014/Prior%20Year%20Adjusted%20Budget%20Letter/FY2012-13%20Adjusted%20BL_CAFR,%20Base%20and%20October%20midyear/Revised_Summary%20of%20Audit%20Adjs%20for%2013-14%20MFP_state%20and%20local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3-2014_tax%20and%20student%20data/Student%20Data/SIS/February%202013/February%202013/RSD_NO_by_Site_Feb_1_2013_MFP_Membership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3-2014_tax%20and%20student%20data/Student%20Data/SIS/February%202013/February%202013/KIPP_398_by_Site_and_Grade_Feb_1_2013_MFP_Membership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3-2014_tax%20and%20student%20data/Student%20Data/SIS/February%202013/February%202013/RSD_396_by_Site_Feb_1_2013_MFP_Membership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3-2014/Prior%20Year%20Adjusted%20Budget%20Letter/FY2012-13%20Adjusted%20BL_CAFR,%20Base%20and%20October%20midyear/Revised%2012-13%20OCTOBER%20MIDYEAR%20Adjustments%20-%20May%20201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Studies/BESE%202012-13_FY%202013-14%20MFP/Budget%20Letter%20Simulations_including%20PDFs%20to%20Districts/FY2013-14%20MFP%20Budget%20Letter%20Simulation_July%202012%20with%2011-12%20prelim%20revenues_updated%20T7%20and%20est%202.1%20counts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3-2014/Prior%20Year%20Adjusted%20Budget%20Letter/FY2012-13%20Adjusted%20BL_CAFR,%20Base%20and%20October%20midyear/Revised%20FY2012-13%20MFP%20-%20May%202013_CAFR%20Adj%20and%20Base%20Counts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3-2014/Prior%20Year%20Adjusted%20Budget%20Letter/FY2011-12%20Adjusted%20BL_February%20midyear%20only/February%202012%20Midyear%20Adjustment_FY2011-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3-2014_tax%20and%20student%20data/Prior%20Year%20Adjusted%20Budget%20Letter/FY2012-13%20Adjusted%20BL_CAFR,%20Base%20and%20October%20midyear/Revised_Summary%20of%20Audit%20Adjs%20for%2013-14%20MFP_state%20and%20local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3-2014/Student%20Data/OJJ/MS%205983%20Prelim_ADM_OJJ_6-3-1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f\EFS\MFPAdm\MFP%20Budget%20Letter\2012-2013_being%20developed\Prior%20Year%20Adjusted%20Budget%20Letters\FY2011-12%20Adjusted%20BL_CAFR,%20Base%20and%20October%20midyear\October%20Midyear%20Adjustment_FY2011-1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3-2014_tax%20and%20student%20data/Student%20Data/SIS/February%202013/February%202013/SSEEP_%20Feb%202013%20Multi-Stats_5_9_MFP%20Funded%20and%20At-Ris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3-2014_tax%20and%20student%20data/Student%20Data/SIS/February%202013/February%202013/MFP_At_Risk_Funded_Membership_Feb_1_2013_Other_Funded_At_Risk_by%20Residenc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3-2014_tax%20and%20student%20data/Student%20Data/CTE%20Data/MS5627_CTE%20Report_MFP%20Layou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3-2014_tax%20and%20student%20data/Student%20Data/SER%20DATA/SER%20DATA%20-%20Old%20Policy%20format/MS5626_V116_SERSwdAndGT_MFP%20Format_04-04-13%20(with%20babies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3-2014_tax%20and%20student%20data/Student%20Data/SER%20DATA/SER%20DATA%20-%20Old%20Policy%20format/MS5639_V124_SER%20GT%20by%20grade_MFP%20Forma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1-2012/Budget%20Letters/July/FY2011-12%20MFP%20Budget%20Letter_July%202011_email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2-2013/Budget%20Letters/July%202012/FY2012-13%20MFP%20Budget%20Letter_July%202012%20-%20Final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3-2014_tax%20and%20student%20data/Student%20Data/SIS/February%202013/February%202013/MFP_Funded_Membership_Feb_1_2013_Other_Funded_Membership_by_School_Location_or_Student_Reside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ed Amounts"/>
    </sheetNames>
    <sheetDataSet>
      <sheetData sheetId="0">
        <row r="7">
          <cell r="C7">
            <v>0</v>
          </cell>
        </row>
        <row r="8">
          <cell r="C8">
            <v>10338.090149683587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-2718.3215289424334</v>
          </cell>
        </row>
        <row r="12">
          <cell r="C12">
            <v>-3090.6922071054432</v>
          </cell>
        </row>
        <row r="13">
          <cell r="C13">
            <v>-1148.4454043616533</v>
          </cell>
        </row>
        <row r="14">
          <cell r="C14">
            <v>0</v>
          </cell>
        </row>
        <row r="15">
          <cell r="C15">
            <v>-15389.013847659691</v>
          </cell>
        </row>
        <row r="16">
          <cell r="C16">
            <v>-41821.566594872507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3362.7373720844844</v>
          </cell>
        </row>
        <row r="20">
          <cell r="C20">
            <v>-3279.4790639259299</v>
          </cell>
        </row>
        <row r="21">
          <cell r="C21">
            <v>0</v>
          </cell>
        </row>
        <row r="22">
          <cell r="C22">
            <v>3299.8885375240538</v>
          </cell>
        </row>
        <row r="23">
          <cell r="C23">
            <v>-120014.25804068119</v>
          </cell>
        </row>
        <row r="24">
          <cell r="C24">
            <v>9922.943186610486</v>
          </cell>
        </row>
        <row r="25">
          <cell r="C25">
            <v>3054.7964737814182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-2758.9448518506833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-11961.53370293905</v>
          </cell>
        </row>
        <row r="33">
          <cell r="C33">
            <v>0</v>
          </cell>
        </row>
        <row r="34">
          <cell r="C34">
            <v>83265.783342431183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2426.8569762554553</v>
          </cell>
        </row>
        <row r="38">
          <cell r="C38">
            <v>0</v>
          </cell>
        </row>
        <row r="39">
          <cell r="C39">
            <v>-22324.016662026203</v>
          </cell>
        </row>
        <row r="40">
          <cell r="C40">
            <v>-3204.4489837342553</v>
          </cell>
        </row>
        <row r="41">
          <cell r="C41">
            <v>-2751.2730480111859</v>
          </cell>
        </row>
        <row r="42">
          <cell r="C42">
            <v>1989.6294367055889</v>
          </cell>
        </row>
        <row r="43">
          <cell r="C43">
            <v>6125.6994180640613</v>
          </cell>
        </row>
        <row r="44">
          <cell r="C44">
            <v>4839.7174128218885</v>
          </cell>
        </row>
        <row r="45">
          <cell r="C45">
            <v>0</v>
          </cell>
        </row>
        <row r="46">
          <cell r="C46">
            <v>-49491.345815212408</v>
          </cell>
        </row>
        <row r="47">
          <cell r="C47">
            <v>0</v>
          </cell>
        </row>
        <row r="48">
          <cell r="C48">
            <v>-6035.3656550306769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-6530.1710099800548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-2722.1213310343373</v>
          </cell>
        </row>
        <row r="56">
          <cell r="C56">
            <v>8551.242432594765</v>
          </cell>
        </row>
        <row r="57">
          <cell r="C57">
            <v>-23603.564440792776</v>
          </cell>
        </row>
        <row r="58">
          <cell r="C58">
            <v>-33867.362356248894</v>
          </cell>
        </row>
        <row r="59">
          <cell r="C59">
            <v>2717.5270563218037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-2753.9485829962941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-3224.822370386988</v>
          </cell>
        </row>
        <row r="71">
          <cell r="C71">
            <v>10676.329014573741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-3327.7966920532344</v>
          </cell>
        </row>
        <row r="75">
          <cell r="C75">
            <v>0</v>
          </cell>
        </row>
        <row r="126">
          <cell r="C126">
            <v>3987.1779009796828</v>
          </cell>
          <cell r="H126">
            <v>0</v>
          </cell>
          <cell r="K126">
            <v>4648</v>
          </cell>
          <cell r="P126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Summary of Simulation 1"/>
      <sheetName val="Table 1 State Summary"/>
      <sheetName val="Table 2 Distributions &amp; Adjust"/>
      <sheetName val="Table 3 Levels 1&amp;2"/>
      <sheetName val="Table 4 Level 3"/>
      <sheetName val="Table 4A Stipends"/>
      <sheetName val="Table 5A Lab Schools"/>
      <sheetName val="Table 5B1_RSD_Orleans"/>
      <sheetName val="Table 5B2_RSD_LA"/>
      <sheetName val="Table 5C_Type 2"/>
      <sheetName val="Table 6 (Local Deduct Calc.)"/>
      <sheetName val="Table 7 Local Revenue"/>
      <sheetName val="Table 8 Membership, 2.1.09"/>
      <sheetName val="Table 3A Cert Pay Req"/>
    </sheetNames>
    <sheetDataSet>
      <sheetData sheetId="0"/>
      <sheetData sheetId="1"/>
      <sheetData sheetId="2"/>
      <sheetData sheetId="3"/>
      <sheetData sheetId="4" refreshError="1"/>
      <sheetData sheetId="5" refreshError="1">
        <row r="6">
          <cell r="C6">
            <v>364.58000000000004</v>
          </cell>
        </row>
        <row r="75">
          <cell r="C75">
            <v>303.87</v>
          </cell>
        </row>
      </sheetData>
      <sheetData sheetId="6"/>
      <sheetData sheetId="7" refreshError="1">
        <row r="8">
          <cell r="B8">
            <v>1344</v>
          </cell>
          <cell r="G8">
            <v>196</v>
          </cell>
          <cell r="K8">
            <v>23</v>
          </cell>
        </row>
        <row r="9">
          <cell r="G9">
            <v>217</v>
          </cell>
          <cell r="K9">
            <v>59</v>
          </cell>
        </row>
        <row r="17">
          <cell r="D17">
            <v>83.101858736059484</v>
          </cell>
        </row>
        <row r="18">
          <cell r="D18">
            <v>120.02832861189802</v>
          </cell>
        </row>
      </sheetData>
      <sheetData sheetId="8">
        <row r="6">
          <cell r="C6">
            <v>9827</v>
          </cell>
        </row>
      </sheetData>
      <sheetData sheetId="9" refreshError="1"/>
      <sheetData sheetId="10" refreshError="1"/>
      <sheetData sheetId="11"/>
      <sheetData sheetId="12" refreshError="1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FY2013-14 Initial"/>
      <sheetName val="Detail Calculation exclude debt"/>
      <sheetName val="Detail Calculation for debt"/>
      <sheetName val="Detail"/>
      <sheetName val="2.1.13 SIS"/>
      <sheetName val="AFR Revenues"/>
      <sheetName val="AFR Expenditures"/>
      <sheetName val="Sheet1"/>
    </sheetNames>
    <sheetDataSet>
      <sheetData sheetId="0"/>
      <sheetData sheetId="1">
        <row r="8">
          <cell r="K8">
            <v>2168</v>
          </cell>
        </row>
        <row r="9">
          <cell r="K9">
            <v>2627</v>
          </cell>
        </row>
        <row r="10">
          <cell r="K10">
            <v>5431</v>
          </cell>
        </row>
        <row r="11">
          <cell r="K11">
            <v>3029</v>
          </cell>
        </row>
        <row r="12">
          <cell r="K12">
            <v>1751</v>
          </cell>
          <cell r="L12">
            <v>6737.8166927080074</v>
          </cell>
        </row>
        <row r="13">
          <cell r="K13">
            <v>3735</v>
          </cell>
        </row>
        <row r="14">
          <cell r="K14">
            <v>11329</v>
          </cell>
        </row>
        <row r="15">
          <cell r="K15">
            <v>3915</v>
          </cell>
        </row>
        <row r="16">
          <cell r="D16">
            <v>3938</v>
          </cell>
          <cell r="K16">
            <v>4627</v>
          </cell>
        </row>
        <row r="17">
          <cell r="K17">
            <v>4489</v>
          </cell>
        </row>
        <row r="18">
          <cell r="K18">
            <v>3654</v>
          </cell>
        </row>
        <row r="19">
          <cell r="K19">
            <v>13767</v>
          </cell>
        </row>
        <row r="20">
          <cell r="K20">
            <v>2525</v>
          </cell>
        </row>
        <row r="21">
          <cell r="K21">
            <v>3988</v>
          </cell>
        </row>
        <row r="22">
          <cell r="K22">
            <v>2544</v>
          </cell>
        </row>
        <row r="23">
          <cell r="K23">
            <v>12132</v>
          </cell>
        </row>
        <row r="24">
          <cell r="D24">
            <v>5890</v>
          </cell>
          <cell r="K24">
            <v>6764</v>
          </cell>
        </row>
        <row r="25">
          <cell r="K25">
            <v>2925</v>
          </cell>
        </row>
        <row r="26">
          <cell r="K26">
            <v>2570</v>
          </cell>
        </row>
        <row r="27">
          <cell r="K27">
            <v>2420</v>
          </cell>
        </row>
        <row r="28">
          <cell r="K28">
            <v>2265</v>
          </cell>
        </row>
        <row r="29">
          <cell r="K29">
            <v>1438</v>
          </cell>
        </row>
        <row r="30">
          <cell r="K30">
            <v>3386</v>
          </cell>
        </row>
        <row r="31">
          <cell r="K31">
            <v>9761</v>
          </cell>
        </row>
        <row r="32">
          <cell r="K32">
            <v>4842</v>
          </cell>
        </row>
        <row r="33">
          <cell r="K33">
            <v>5301</v>
          </cell>
        </row>
        <row r="34">
          <cell r="K34">
            <v>3252</v>
          </cell>
        </row>
        <row r="35">
          <cell r="K35">
            <v>5361</v>
          </cell>
        </row>
        <row r="36">
          <cell r="K36">
            <v>4763</v>
          </cell>
          <cell r="L36">
            <v>8715.5586133052639</v>
          </cell>
        </row>
        <row r="37">
          <cell r="K37">
            <v>3236</v>
          </cell>
        </row>
        <row r="38">
          <cell r="K38">
            <v>4795</v>
          </cell>
        </row>
        <row r="39">
          <cell r="K39">
            <v>2109</v>
          </cell>
        </row>
        <row r="40">
          <cell r="K40">
            <v>2649</v>
          </cell>
        </row>
        <row r="41">
          <cell r="K41">
            <v>2817</v>
          </cell>
        </row>
        <row r="42">
          <cell r="K42">
            <v>3298</v>
          </cell>
        </row>
        <row r="43">
          <cell r="D43">
            <v>4673</v>
          </cell>
          <cell r="E43">
            <v>8193.4894337711739</v>
          </cell>
          <cell r="K43">
            <v>5442</v>
          </cell>
          <cell r="L43">
            <v>8962.4894337711739</v>
          </cell>
        </row>
        <row r="44">
          <cell r="K44">
            <v>3227</v>
          </cell>
        </row>
        <row r="45">
          <cell r="K45">
            <v>10867</v>
          </cell>
          <cell r="L45">
            <v>13059.754527559055</v>
          </cell>
        </row>
        <row r="46">
          <cell r="D46">
            <v>4191</v>
          </cell>
          <cell r="K46">
            <v>4324</v>
          </cell>
        </row>
        <row r="47">
          <cell r="K47">
            <v>3007</v>
          </cell>
        </row>
        <row r="48">
          <cell r="K48">
            <v>9087</v>
          </cell>
        </row>
        <row r="49">
          <cell r="K49">
            <v>2867</v>
          </cell>
          <cell r="L49">
            <v>7954.4730460987803</v>
          </cell>
        </row>
        <row r="50">
          <cell r="K50">
            <v>3587</v>
          </cell>
        </row>
        <row r="51">
          <cell r="K51">
            <v>4561</v>
          </cell>
        </row>
        <row r="52">
          <cell r="K52">
            <v>11287</v>
          </cell>
        </row>
        <row r="53">
          <cell r="D53">
            <v>1596</v>
          </cell>
          <cell r="K53">
            <v>2150</v>
          </cell>
        </row>
        <row r="54">
          <cell r="K54">
            <v>13280</v>
          </cell>
        </row>
        <row r="55">
          <cell r="K55">
            <v>6453</v>
          </cell>
        </row>
        <row r="56">
          <cell r="K56">
            <v>2287</v>
          </cell>
        </row>
        <row r="57">
          <cell r="K57">
            <v>2801</v>
          </cell>
        </row>
        <row r="58">
          <cell r="K58">
            <v>4215</v>
          </cell>
          <cell r="L58">
            <v>8461.0339872793593</v>
          </cell>
        </row>
        <row r="59">
          <cell r="K59">
            <v>4889</v>
          </cell>
        </row>
        <row r="60">
          <cell r="K60">
            <v>2119</v>
          </cell>
        </row>
        <row r="61">
          <cell r="K61">
            <v>3690</v>
          </cell>
        </row>
        <row r="62">
          <cell r="K62">
            <v>3157</v>
          </cell>
        </row>
        <row r="63">
          <cell r="K63">
            <v>2779</v>
          </cell>
        </row>
        <row r="64">
          <cell r="K64">
            <v>3107</v>
          </cell>
        </row>
        <row r="65">
          <cell r="K65">
            <v>2105</v>
          </cell>
        </row>
        <row r="66">
          <cell r="K66">
            <v>1510</v>
          </cell>
        </row>
        <row r="67">
          <cell r="K67">
            <v>3793</v>
          </cell>
        </row>
        <row r="68">
          <cell r="K68">
            <v>6570</v>
          </cell>
        </row>
        <row r="69">
          <cell r="K69">
            <v>1934</v>
          </cell>
        </row>
        <row r="70">
          <cell r="K70">
            <v>6787</v>
          </cell>
        </row>
        <row r="71">
          <cell r="K71">
            <v>2901</v>
          </cell>
        </row>
        <row r="72">
          <cell r="K72">
            <v>5001</v>
          </cell>
          <cell r="L72">
            <v>9580.2772303106685</v>
          </cell>
        </row>
        <row r="73">
          <cell r="K73">
            <v>3415</v>
          </cell>
        </row>
        <row r="74">
          <cell r="K74">
            <v>5221</v>
          </cell>
        </row>
        <row r="75">
          <cell r="K75">
            <v>2680</v>
          </cell>
        </row>
        <row r="76">
          <cell r="K76">
            <v>3263</v>
          </cell>
        </row>
        <row r="77">
          <cell r="K77">
            <v>4503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ed Amounts"/>
    </sheetNames>
    <sheetDataSet>
      <sheetData sheetId="0">
        <row r="149">
          <cell r="Q149">
            <v>-73370.5</v>
          </cell>
        </row>
        <row r="150">
          <cell r="I150">
            <v>-25753.519844584098</v>
          </cell>
          <cell r="Q150">
            <v>-1243</v>
          </cell>
        </row>
        <row r="151">
          <cell r="I151">
            <v>-21573.363555057345</v>
          </cell>
          <cell r="Q151">
            <v>-13779.5</v>
          </cell>
        </row>
        <row r="152">
          <cell r="I152">
            <v>-62288.211523809267</v>
          </cell>
          <cell r="Q152">
            <v>-68280</v>
          </cell>
        </row>
        <row r="153">
          <cell r="I153">
            <v>-33577.616866203491</v>
          </cell>
          <cell r="Q153">
            <v>-45904</v>
          </cell>
        </row>
        <row r="154">
          <cell r="I154">
            <v>0</v>
          </cell>
          <cell r="Q154">
            <v>0</v>
          </cell>
        </row>
        <row r="155">
          <cell r="I155">
            <v>-4197.2021082754363</v>
          </cell>
          <cell r="Q155">
            <v>-5738</v>
          </cell>
        </row>
        <row r="156">
          <cell r="I156">
            <v>-8944.4957671786251</v>
          </cell>
          <cell r="Q156">
            <v>-8370</v>
          </cell>
        </row>
        <row r="157">
          <cell r="I157">
            <v>-4197.2021082754363</v>
          </cell>
          <cell r="Q157">
            <v>-5738</v>
          </cell>
        </row>
        <row r="158">
          <cell r="I158">
            <v>-4197.2021082754363</v>
          </cell>
          <cell r="Q158">
            <v>-5738</v>
          </cell>
        </row>
        <row r="159">
          <cell r="I159">
            <v>-8394.4042165508727</v>
          </cell>
          <cell r="Q159">
            <v>-11476</v>
          </cell>
        </row>
        <row r="162">
          <cell r="Q162">
            <v>0</v>
          </cell>
        </row>
        <row r="163">
          <cell r="Q163">
            <v>0</v>
          </cell>
        </row>
        <row r="164">
          <cell r="Q164">
            <v>-12602</v>
          </cell>
        </row>
        <row r="165">
          <cell r="Q165">
            <v>-10493.5</v>
          </cell>
        </row>
        <row r="166">
          <cell r="Q166">
            <v>0</v>
          </cell>
        </row>
        <row r="167">
          <cell r="Q167">
            <v>0</v>
          </cell>
        </row>
        <row r="168">
          <cell r="Q168">
            <v>-113292</v>
          </cell>
        </row>
        <row r="169">
          <cell r="Q169">
            <v>-27298.5</v>
          </cell>
        </row>
        <row r="171">
          <cell r="Q171">
            <v>-2789.5</v>
          </cell>
        </row>
        <row r="172">
          <cell r="Q172">
            <v>0</v>
          </cell>
        </row>
        <row r="174">
          <cell r="Q174">
            <v>6304.5</v>
          </cell>
        </row>
        <row r="175">
          <cell r="Q175">
            <v>2101.5</v>
          </cell>
        </row>
        <row r="176">
          <cell r="Q176">
            <v>0</v>
          </cell>
        </row>
        <row r="177">
          <cell r="Q177">
            <v>2115.5</v>
          </cell>
        </row>
        <row r="178">
          <cell r="Q178">
            <v>-6304.5</v>
          </cell>
        </row>
        <row r="180">
          <cell r="Q180">
            <v>0</v>
          </cell>
        </row>
        <row r="186">
          <cell r="Q186">
            <v>-8399</v>
          </cell>
        </row>
        <row r="190">
          <cell r="Q190">
            <v>-10493.5</v>
          </cell>
        </row>
        <row r="191">
          <cell r="Q191">
            <v>0</v>
          </cell>
        </row>
        <row r="193">
          <cell r="Q193">
            <v>4203</v>
          </cell>
        </row>
        <row r="194">
          <cell r="Q194">
            <v>0</v>
          </cell>
        </row>
        <row r="195">
          <cell r="Q195">
            <v>0</v>
          </cell>
        </row>
        <row r="197">
          <cell r="Q197">
            <v>4203</v>
          </cell>
        </row>
        <row r="198">
          <cell r="Q198">
            <v>2101.5</v>
          </cell>
        </row>
        <row r="199">
          <cell r="Q199">
            <v>2101.5</v>
          </cell>
        </row>
        <row r="200">
          <cell r="Q200">
            <v>0</v>
          </cell>
        </row>
        <row r="201">
          <cell r="Q201">
            <v>-6297.5</v>
          </cell>
        </row>
        <row r="202">
          <cell r="Q202">
            <v>-4189</v>
          </cell>
        </row>
        <row r="203">
          <cell r="Q203">
            <v>-37743</v>
          </cell>
        </row>
        <row r="204">
          <cell r="Q204">
            <v>-20966</v>
          </cell>
        </row>
        <row r="205">
          <cell r="Q205">
            <v>-94427.5</v>
          </cell>
        </row>
        <row r="206">
          <cell r="Q206">
            <v>21</v>
          </cell>
        </row>
        <row r="207">
          <cell r="Q207">
            <v>0</v>
          </cell>
        </row>
        <row r="208">
          <cell r="Q208">
            <v>0</v>
          </cell>
        </row>
        <row r="209">
          <cell r="Q209">
            <v>6304.5</v>
          </cell>
        </row>
        <row r="210">
          <cell r="Q210">
            <v>6304.5</v>
          </cell>
        </row>
        <row r="211">
          <cell r="Q211">
            <v>0</v>
          </cell>
        </row>
        <row r="212">
          <cell r="Q212">
            <v>10507.5</v>
          </cell>
        </row>
        <row r="213">
          <cell r="Q213">
            <v>4203</v>
          </cell>
        </row>
        <row r="214">
          <cell r="Q214">
            <v>0</v>
          </cell>
        </row>
        <row r="215">
          <cell r="Q215">
            <v>-2101.5</v>
          </cell>
        </row>
        <row r="216">
          <cell r="Q216">
            <v>14</v>
          </cell>
        </row>
        <row r="217">
          <cell r="Q217">
            <v>0</v>
          </cell>
        </row>
        <row r="218">
          <cell r="Q218">
            <v>0</v>
          </cell>
        </row>
        <row r="221">
          <cell r="I221">
            <v>-34110.218011362987</v>
          </cell>
          <cell r="Q221">
            <v>0</v>
          </cell>
        </row>
        <row r="224">
          <cell r="I224">
            <v>7694.5069238298493</v>
          </cell>
          <cell r="Q224">
            <v>5860.5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D-NO by Site"/>
    </sheetNames>
    <sheetDataSet>
      <sheetData sheetId="0">
        <row r="5">
          <cell r="D5">
            <v>398</v>
          </cell>
        </row>
        <row r="6">
          <cell r="D6">
            <v>456</v>
          </cell>
        </row>
        <row r="7">
          <cell r="D7">
            <v>658</v>
          </cell>
        </row>
        <row r="8">
          <cell r="D8">
            <v>412</v>
          </cell>
        </row>
        <row r="9">
          <cell r="D9">
            <v>156</v>
          </cell>
        </row>
        <row r="10">
          <cell r="D10">
            <v>163</v>
          </cell>
        </row>
        <row r="11">
          <cell r="D11">
            <v>377</v>
          </cell>
        </row>
        <row r="12">
          <cell r="D12">
            <v>530</v>
          </cell>
        </row>
        <row r="13">
          <cell r="D13">
            <v>523</v>
          </cell>
        </row>
        <row r="14">
          <cell r="D14">
            <v>121</v>
          </cell>
        </row>
        <row r="15">
          <cell r="D15">
            <v>393</v>
          </cell>
        </row>
        <row r="16">
          <cell r="D16">
            <v>262</v>
          </cell>
        </row>
        <row r="17">
          <cell r="D17">
            <v>636</v>
          </cell>
        </row>
        <row r="18">
          <cell r="D18">
            <v>655</v>
          </cell>
        </row>
        <row r="19">
          <cell r="D19">
            <v>639</v>
          </cell>
        </row>
        <row r="20">
          <cell r="D20">
            <v>188</v>
          </cell>
        </row>
        <row r="21">
          <cell r="D21">
            <v>180</v>
          </cell>
        </row>
        <row r="23">
          <cell r="D23">
            <v>399</v>
          </cell>
        </row>
        <row r="24">
          <cell r="D24">
            <v>402</v>
          </cell>
        </row>
        <row r="29">
          <cell r="D29">
            <v>381</v>
          </cell>
        </row>
        <row r="30">
          <cell r="D30">
            <v>401</v>
          </cell>
        </row>
        <row r="31">
          <cell r="D31">
            <v>105</v>
          </cell>
        </row>
        <row r="32">
          <cell r="D32">
            <v>100</v>
          </cell>
        </row>
        <row r="33">
          <cell r="D33">
            <v>400</v>
          </cell>
        </row>
        <row r="34">
          <cell r="D34">
            <v>352</v>
          </cell>
        </row>
        <row r="35">
          <cell r="D35">
            <v>493</v>
          </cell>
        </row>
        <row r="36">
          <cell r="D36">
            <v>608</v>
          </cell>
        </row>
        <row r="37">
          <cell r="D37">
            <v>596</v>
          </cell>
        </row>
        <row r="38">
          <cell r="D38">
            <v>694</v>
          </cell>
        </row>
        <row r="39">
          <cell r="D39">
            <v>347</v>
          </cell>
        </row>
        <row r="40">
          <cell r="D40">
            <v>425</v>
          </cell>
        </row>
        <row r="41">
          <cell r="D41">
            <v>886</v>
          </cell>
        </row>
        <row r="42">
          <cell r="D42">
            <v>466</v>
          </cell>
        </row>
        <row r="43">
          <cell r="D43">
            <v>444</v>
          </cell>
        </row>
        <row r="44">
          <cell r="D44">
            <v>673</v>
          </cell>
        </row>
        <row r="45">
          <cell r="D45">
            <v>606</v>
          </cell>
        </row>
        <row r="46">
          <cell r="D46">
            <v>634</v>
          </cell>
        </row>
        <row r="47">
          <cell r="D47">
            <v>475</v>
          </cell>
        </row>
        <row r="48">
          <cell r="D48">
            <v>879</v>
          </cell>
        </row>
        <row r="49">
          <cell r="D49">
            <v>261</v>
          </cell>
        </row>
        <row r="50">
          <cell r="D50">
            <v>483</v>
          </cell>
        </row>
        <row r="51">
          <cell r="D51">
            <v>603</v>
          </cell>
        </row>
        <row r="52">
          <cell r="D52">
            <v>763</v>
          </cell>
        </row>
        <row r="53">
          <cell r="D53">
            <v>405</v>
          </cell>
        </row>
        <row r="55">
          <cell r="D55">
            <v>343</v>
          </cell>
        </row>
        <row r="56">
          <cell r="D56">
            <v>514</v>
          </cell>
        </row>
        <row r="57">
          <cell r="D57">
            <v>508</v>
          </cell>
        </row>
        <row r="58">
          <cell r="D58">
            <v>485</v>
          </cell>
        </row>
        <row r="59">
          <cell r="D59">
            <v>394</v>
          </cell>
        </row>
        <row r="60">
          <cell r="D60">
            <v>472</v>
          </cell>
        </row>
        <row r="61">
          <cell r="D61">
            <v>645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PP by Site &amp; Grade"/>
    </sheetNames>
    <sheetDataSet>
      <sheetData sheetId="0">
        <row r="7">
          <cell r="R7">
            <v>513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D by Site"/>
    </sheetNames>
    <sheetDataSet>
      <sheetData sheetId="0">
        <row r="19">
          <cell r="C19">
            <v>239</v>
          </cell>
        </row>
        <row r="21">
          <cell r="C21">
            <v>332</v>
          </cell>
        </row>
        <row r="22">
          <cell r="C22">
            <v>202</v>
          </cell>
        </row>
        <row r="23">
          <cell r="C23">
            <v>209</v>
          </cell>
        </row>
        <row r="25">
          <cell r="C25">
            <v>266</v>
          </cell>
        </row>
        <row r="26">
          <cell r="C26">
            <v>338</v>
          </cell>
        </row>
        <row r="27">
          <cell r="C27">
            <v>165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dyear Adjustment Summary"/>
      <sheetName val="October midyear adj"/>
      <sheetName val="Oct midyear LA Virtual Admy"/>
      <sheetName val="Oct midyear LA Connections"/>
      <sheetName val="Oct midyear JS Clark Academy"/>
      <sheetName val="10.1.12 MFP Funded"/>
      <sheetName val="Oct midyear Madison Prep"/>
      <sheetName val="Oct midyear DArbonne"/>
      <sheetName val="Oct midyear Intl_VIBE "/>
      <sheetName val="Oct midyear NOMMA"/>
      <sheetName val="Oct midyear LFNO"/>
      <sheetName val="Oct midyear Lake Charles Chtr"/>
      <sheetName val="Oct midyear Southwest LA Chtr"/>
      <sheetName val="Oct midyear New Vision"/>
      <sheetName val="Oct midyear Glencoe"/>
      <sheetName val="Oct midyear International"/>
      <sheetName val="Oct midyear Avoyelles"/>
      <sheetName val="Oct midyear Delhi"/>
      <sheetName val="Oct midyear Milestone"/>
      <sheetName val="Oct midyear Max"/>
      <sheetName val="Oct midyear Belle Chasse"/>
      <sheetName val="Oct midyear OJJ"/>
      <sheetName val="Oct midyear SSD"/>
      <sheetName val="Oct midyear LSDVI"/>
      <sheetName val="Oct midyear LSMSA "/>
      <sheetName val="Oct midyear NOCCA "/>
      <sheetName val="February midyear adj "/>
      <sheetName val="Feb midyear Madison Prep"/>
      <sheetName val="Feb midyear DArbonne"/>
      <sheetName val="Feb midyear Intl_VIBE "/>
      <sheetName val="Feb midyear NOMMA"/>
      <sheetName val="Feb midyear LFNO "/>
      <sheetName val="Feb midyear Lake Charles Ch"/>
      <sheetName val="Feb midyear JS Clark Academy"/>
      <sheetName val="Feb midyear Southwest LA Ch "/>
      <sheetName val="Feb midyear LA Virtual Admy"/>
      <sheetName val="Feb midyear LA Connections"/>
      <sheetName val="Feb midyear New Vision"/>
      <sheetName val="Feb midyear Glencoe "/>
      <sheetName val="Feb midyear International "/>
      <sheetName val="Feb midyear Avoyelles"/>
      <sheetName val="Feb midyear Delhi "/>
      <sheetName val="Feb midyear Milestone "/>
      <sheetName val="Feb midyear Max "/>
      <sheetName val="Feb midyear Belle Chasse"/>
      <sheetName val="Feb midyear OJJ "/>
      <sheetName val="Feb midyear SSD"/>
      <sheetName val="Feb midyear LSDVI"/>
      <sheetName val="Feb midyear LSMSA "/>
      <sheetName val="Feb midyear NOCCA"/>
      <sheetName val="10.1.12 RSD-NO by Site"/>
      <sheetName val="10.1.12 RSD operated by Site"/>
      <sheetName val="2-1-13 ALL"/>
    </sheetNames>
    <sheetDataSet>
      <sheetData sheetId="0" refreshError="1"/>
      <sheetData sheetId="1" refreshError="1"/>
      <sheetData sheetId="2">
        <row r="4">
          <cell r="K4">
            <v>24369.298680318425</v>
          </cell>
          <cell r="P4">
            <v>9517.5</v>
          </cell>
        </row>
        <row r="5">
          <cell r="K5">
            <v>0</v>
          </cell>
          <cell r="P5">
            <v>0</v>
          </cell>
        </row>
        <row r="6">
          <cell r="K6">
            <v>0</v>
          </cell>
          <cell r="P6">
            <v>0</v>
          </cell>
        </row>
        <row r="7">
          <cell r="K7">
            <v>0</v>
          </cell>
          <cell r="P7">
            <v>0</v>
          </cell>
        </row>
        <row r="8">
          <cell r="K8">
            <v>0</v>
          </cell>
          <cell r="P8">
            <v>0</v>
          </cell>
        </row>
        <row r="9">
          <cell r="K9">
            <v>0</v>
          </cell>
          <cell r="P9">
            <v>0</v>
          </cell>
        </row>
        <row r="10">
          <cell r="K10">
            <v>2076.7092443642914</v>
          </cell>
          <cell r="P10">
            <v>11234.7</v>
          </cell>
        </row>
        <row r="11">
          <cell r="K11">
            <v>0</v>
          </cell>
          <cell r="P11">
            <v>0</v>
          </cell>
        </row>
        <row r="12">
          <cell r="K12">
            <v>4528.6929252133195</v>
          </cell>
          <cell r="P12">
            <v>4184.1000000000004</v>
          </cell>
        </row>
        <row r="13">
          <cell r="K13">
            <v>8870.7928937265151</v>
          </cell>
          <cell r="P13">
            <v>7911</v>
          </cell>
        </row>
        <row r="14">
          <cell r="K14">
            <v>0</v>
          </cell>
          <cell r="P14">
            <v>0</v>
          </cell>
        </row>
        <row r="15">
          <cell r="K15">
            <v>0</v>
          </cell>
          <cell r="P15">
            <v>0</v>
          </cell>
        </row>
        <row r="16">
          <cell r="K16">
            <v>6203.647018570111</v>
          </cell>
          <cell r="P16">
            <v>2284.2000000000003</v>
          </cell>
        </row>
        <row r="17">
          <cell r="K17">
            <v>0</v>
          </cell>
          <cell r="P17">
            <v>0</v>
          </cell>
        </row>
        <row r="18">
          <cell r="K18">
            <v>0</v>
          </cell>
          <cell r="P18">
            <v>0</v>
          </cell>
        </row>
        <row r="19">
          <cell r="K19">
            <v>0</v>
          </cell>
          <cell r="P19">
            <v>0</v>
          </cell>
        </row>
        <row r="20">
          <cell r="K20">
            <v>7554.9637948957861</v>
          </cell>
          <cell r="P20">
            <v>11881.800000000001</v>
          </cell>
        </row>
        <row r="21">
          <cell r="K21">
            <v>0</v>
          </cell>
          <cell r="P21">
            <v>0</v>
          </cell>
        </row>
        <row r="22">
          <cell r="K22">
            <v>0</v>
          </cell>
          <cell r="P22">
            <v>0</v>
          </cell>
        </row>
        <row r="23">
          <cell r="K23">
            <v>0</v>
          </cell>
          <cell r="P23">
            <v>0</v>
          </cell>
        </row>
        <row r="24">
          <cell r="K24">
            <v>0</v>
          </cell>
          <cell r="P24">
            <v>0</v>
          </cell>
        </row>
        <row r="25">
          <cell r="K25">
            <v>0</v>
          </cell>
          <cell r="P25">
            <v>0</v>
          </cell>
        </row>
        <row r="26">
          <cell r="K26">
            <v>0</v>
          </cell>
          <cell r="P26">
            <v>0</v>
          </cell>
        </row>
        <row r="27">
          <cell r="K27">
            <v>3157.8843603220748</v>
          </cell>
          <cell r="P27">
            <v>8379.9</v>
          </cell>
        </row>
        <row r="28">
          <cell r="K28">
            <v>0</v>
          </cell>
          <cell r="P28">
            <v>0</v>
          </cell>
        </row>
        <row r="29">
          <cell r="K29">
            <v>3570.9648319924163</v>
          </cell>
          <cell r="P29">
            <v>4681.8</v>
          </cell>
        </row>
        <row r="30">
          <cell r="K30">
            <v>0</v>
          </cell>
          <cell r="P30">
            <v>0</v>
          </cell>
        </row>
        <row r="31">
          <cell r="K31">
            <v>3528.0865428383549</v>
          </cell>
          <cell r="P31">
            <v>4804.2</v>
          </cell>
        </row>
        <row r="32">
          <cell r="K32">
            <v>4239.6616933546647</v>
          </cell>
          <cell r="P32">
            <v>3972.6</v>
          </cell>
        </row>
        <row r="33">
          <cell r="K33">
            <v>0</v>
          </cell>
          <cell r="P33">
            <v>0</v>
          </cell>
        </row>
        <row r="34">
          <cell r="K34">
            <v>0</v>
          </cell>
          <cell r="P34">
            <v>0</v>
          </cell>
        </row>
        <row r="35">
          <cell r="K35">
            <v>0</v>
          </cell>
          <cell r="P35">
            <v>0</v>
          </cell>
        </row>
        <row r="36">
          <cell r="K36">
            <v>5444.2414747794228</v>
          </cell>
          <cell r="P36">
            <v>2691</v>
          </cell>
        </row>
        <row r="37">
          <cell r="K37">
            <v>0</v>
          </cell>
          <cell r="P37">
            <v>0</v>
          </cell>
        </row>
        <row r="38">
          <cell r="K38">
            <v>0</v>
          </cell>
          <cell r="P38">
            <v>0</v>
          </cell>
        </row>
        <row r="39">
          <cell r="K39">
            <v>3769.9094200808759</v>
          </cell>
          <cell r="P39">
            <v>4395.6000000000004</v>
          </cell>
        </row>
        <row r="40">
          <cell r="K40">
            <v>0</v>
          </cell>
          <cell r="P40">
            <v>0</v>
          </cell>
        </row>
        <row r="41">
          <cell r="K41">
            <v>2814.157848363926</v>
          </cell>
          <cell r="P41">
            <v>9838.8000000000011</v>
          </cell>
        </row>
        <row r="42">
          <cell r="K42">
            <v>4025.0230952303918</v>
          </cell>
          <cell r="P42">
            <v>3885.3</v>
          </cell>
        </row>
        <row r="43">
          <cell r="K43">
            <v>5037.8209034317624</v>
          </cell>
          <cell r="P43">
            <v>2638.8</v>
          </cell>
        </row>
        <row r="44">
          <cell r="K44">
            <v>0</v>
          </cell>
          <cell r="P44">
            <v>0</v>
          </cell>
        </row>
        <row r="45">
          <cell r="K45">
            <v>0</v>
          </cell>
          <cell r="P45">
            <v>0</v>
          </cell>
        </row>
        <row r="46">
          <cell r="K46">
            <v>0</v>
          </cell>
          <cell r="P46">
            <v>0</v>
          </cell>
        </row>
        <row r="47">
          <cell r="K47">
            <v>0</v>
          </cell>
          <cell r="P47">
            <v>0</v>
          </cell>
        </row>
        <row r="48">
          <cell r="K48">
            <v>0</v>
          </cell>
          <cell r="P48">
            <v>0</v>
          </cell>
        </row>
        <row r="49">
          <cell r="K49">
            <v>0</v>
          </cell>
          <cell r="P49">
            <v>0</v>
          </cell>
        </row>
        <row r="50">
          <cell r="K50">
            <v>0</v>
          </cell>
          <cell r="P50">
            <v>0</v>
          </cell>
        </row>
        <row r="51">
          <cell r="K51">
            <v>0</v>
          </cell>
          <cell r="P51">
            <v>0</v>
          </cell>
        </row>
        <row r="52">
          <cell r="K52">
            <v>0</v>
          </cell>
          <cell r="P52">
            <v>0</v>
          </cell>
        </row>
        <row r="53">
          <cell r="K53">
            <v>0</v>
          </cell>
          <cell r="P53">
            <v>0</v>
          </cell>
        </row>
        <row r="54">
          <cell r="K54">
            <v>0</v>
          </cell>
          <cell r="P54">
            <v>0</v>
          </cell>
        </row>
        <row r="55">
          <cell r="K55">
            <v>10071.029116774051</v>
          </cell>
          <cell r="P55">
            <v>8811</v>
          </cell>
        </row>
        <row r="56">
          <cell r="K56">
            <v>9882.1093499931812</v>
          </cell>
          <cell r="P56">
            <v>3483</v>
          </cell>
        </row>
        <row r="57">
          <cell r="K57">
            <v>0</v>
          </cell>
          <cell r="P57">
            <v>0</v>
          </cell>
        </row>
        <row r="58">
          <cell r="K58">
            <v>8817.993693234579</v>
          </cell>
          <cell r="P58">
            <v>5650.2</v>
          </cell>
        </row>
        <row r="59">
          <cell r="K59">
            <v>0</v>
          </cell>
          <cell r="P59">
            <v>0</v>
          </cell>
        </row>
        <row r="60">
          <cell r="K60">
            <v>0</v>
          </cell>
          <cell r="P60">
            <v>0</v>
          </cell>
        </row>
        <row r="61">
          <cell r="K61">
            <v>0</v>
          </cell>
          <cell r="P61">
            <v>0</v>
          </cell>
        </row>
        <row r="62">
          <cell r="K62">
            <v>18985.561684463202</v>
          </cell>
          <cell r="P62">
            <v>4131</v>
          </cell>
        </row>
        <row r="63">
          <cell r="K63">
            <v>4887.7407236135114</v>
          </cell>
          <cell r="P63">
            <v>3532.5</v>
          </cell>
        </row>
        <row r="64">
          <cell r="K64">
            <v>0</v>
          </cell>
          <cell r="P64">
            <v>0</v>
          </cell>
        </row>
        <row r="65">
          <cell r="K65">
            <v>0</v>
          </cell>
          <cell r="P65">
            <v>0</v>
          </cell>
        </row>
        <row r="66">
          <cell r="K66">
            <v>0</v>
          </cell>
          <cell r="P66">
            <v>0</v>
          </cell>
        </row>
        <row r="67">
          <cell r="K67">
            <v>0</v>
          </cell>
          <cell r="P67">
            <v>0</v>
          </cell>
        </row>
        <row r="68">
          <cell r="K68">
            <v>0</v>
          </cell>
          <cell r="P68">
            <v>0</v>
          </cell>
        </row>
        <row r="69">
          <cell r="K69">
            <v>-18879.853912045117</v>
          </cell>
          <cell r="P69">
            <v>-9525.6</v>
          </cell>
        </row>
        <row r="70">
          <cell r="K70">
            <v>0</v>
          </cell>
          <cell r="P70">
            <v>0</v>
          </cell>
        </row>
        <row r="71">
          <cell r="K71">
            <v>0</v>
          </cell>
          <cell r="P71">
            <v>0</v>
          </cell>
        </row>
        <row r="72">
          <cell r="K72">
            <v>0</v>
          </cell>
          <cell r="P72">
            <v>0</v>
          </cell>
        </row>
      </sheetData>
      <sheetData sheetId="3">
        <row r="4">
          <cell r="K4">
            <v>0</v>
          </cell>
          <cell r="P4">
            <v>0</v>
          </cell>
        </row>
        <row r="5">
          <cell r="K5">
            <v>0</v>
          </cell>
          <cell r="P5">
            <v>0</v>
          </cell>
        </row>
        <row r="6">
          <cell r="K6">
            <v>0</v>
          </cell>
          <cell r="P6">
            <v>0</v>
          </cell>
        </row>
        <row r="7">
          <cell r="K7">
            <v>0</v>
          </cell>
          <cell r="P7">
            <v>0</v>
          </cell>
        </row>
        <row r="8">
          <cell r="K8">
            <v>0</v>
          </cell>
          <cell r="P8">
            <v>0</v>
          </cell>
        </row>
        <row r="9">
          <cell r="K9">
            <v>0</v>
          </cell>
          <cell r="P9">
            <v>0</v>
          </cell>
        </row>
        <row r="10">
          <cell r="K10">
            <v>0</v>
          </cell>
          <cell r="P10">
            <v>0</v>
          </cell>
        </row>
        <row r="11">
          <cell r="K11">
            <v>0</v>
          </cell>
          <cell r="P11">
            <v>0</v>
          </cell>
        </row>
        <row r="12">
          <cell r="K12">
            <v>0</v>
          </cell>
          <cell r="P12">
            <v>0</v>
          </cell>
        </row>
        <row r="13">
          <cell r="K13">
            <v>0</v>
          </cell>
          <cell r="P13">
            <v>0</v>
          </cell>
        </row>
        <row r="14">
          <cell r="K14">
            <v>0</v>
          </cell>
          <cell r="P14">
            <v>0</v>
          </cell>
        </row>
        <row r="15">
          <cell r="K15">
            <v>0</v>
          </cell>
          <cell r="P15">
            <v>0</v>
          </cell>
        </row>
        <row r="16">
          <cell r="K16">
            <v>0</v>
          </cell>
          <cell r="P16">
            <v>0</v>
          </cell>
        </row>
        <row r="17">
          <cell r="K17">
            <v>0</v>
          </cell>
          <cell r="P17">
            <v>0</v>
          </cell>
        </row>
        <row r="18">
          <cell r="K18">
            <v>0</v>
          </cell>
          <cell r="P18">
            <v>0</v>
          </cell>
        </row>
        <row r="19">
          <cell r="K19">
            <v>0</v>
          </cell>
          <cell r="P19">
            <v>0</v>
          </cell>
        </row>
        <row r="20">
          <cell r="K20">
            <v>-3777.4818974478985</v>
          </cell>
          <cell r="P20">
            <v>-5940.9000000000005</v>
          </cell>
        </row>
        <row r="21">
          <cell r="K21">
            <v>0</v>
          </cell>
          <cell r="P21">
            <v>0</v>
          </cell>
        </row>
        <row r="22">
          <cell r="K22">
            <v>0</v>
          </cell>
          <cell r="P22">
            <v>0</v>
          </cell>
        </row>
        <row r="23">
          <cell r="K23">
            <v>0</v>
          </cell>
          <cell r="P23">
            <v>0</v>
          </cell>
        </row>
        <row r="24">
          <cell r="K24">
            <v>0</v>
          </cell>
          <cell r="P24">
            <v>0</v>
          </cell>
        </row>
        <row r="25">
          <cell r="K25">
            <v>0</v>
          </cell>
          <cell r="P25">
            <v>0</v>
          </cell>
        </row>
        <row r="26">
          <cell r="K26">
            <v>0</v>
          </cell>
          <cell r="P26">
            <v>0</v>
          </cell>
        </row>
        <row r="27">
          <cell r="K27">
            <v>0</v>
          </cell>
          <cell r="P27">
            <v>0</v>
          </cell>
        </row>
        <row r="28">
          <cell r="K28">
            <v>0</v>
          </cell>
          <cell r="P28">
            <v>0</v>
          </cell>
        </row>
        <row r="29">
          <cell r="K29">
            <v>0</v>
          </cell>
          <cell r="P29">
            <v>0</v>
          </cell>
        </row>
        <row r="30">
          <cell r="K30">
            <v>0</v>
          </cell>
          <cell r="P30">
            <v>0</v>
          </cell>
        </row>
        <row r="31">
          <cell r="K31">
            <v>0</v>
          </cell>
          <cell r="P31">
            <v>0</v>
          </cell>
        </row>
        <row r="32">
          <cell r="K32">
            <v>0</v>
          </cell>
          <cell r="P32">
            <v>0</v>
          </cell>
        </row>
        <row r="33">
          <cell r="K33">
            <v>0</v>
          </cell>
          <cell r="P33">
            <v>0</v>
          </cell>
        </row>
        <row r="34">
          <cell r="K34">
            <v>0</v>
          </cell>
          <cell r="P34">
            <v>0</v>
          </cell>
        </row>
        <row r="35">
          <cell r="K35">
            <v>0</v>
          </cell>
          <cell r="P35">
            <v>0</v>
          </cell>
        </row>
        <row r="36">
          <cell r="K36">
            <v>0</v>
          </cell>
          <cell r="P36">
            <v>0</v>
          </cell>
        </row>
        <row r="37">
          <cell r="K37">
            <v>0</v>
          </cell>
          <cell r="P37">
            <v>0</v>
          </cell>
        </row>
        <row r="38">
          <cell r="K38">
            <v>0</v>
          </cell>
          <cell r="P38">
            <v>0</v>
          </cell>
        </row>
        <row r="39">
          <cell r="K39">
            <v>0</v>
          </cell>
          <cell r="P39">
            <v>0</v>
          </cell>
        </row>
        <row r="40">
          <cell r="K40">
            <v>0</v>
          </cell>
          <cell r="P40">
            <v>0</v>
          </cell>
        </row>
        <row r="41">
          <cell r="K41">
            <v>0</v>
          </cell>
          <cell r="P41">
            <v>0</v>
          </cell>
        </row>
        <row r="42">
          <cell r="K42">
            <v>0</v>
          </cell>
          <cell r="P42">
            <v>0</v>
          </cell>
        </row>
        <row r="43">
          <cell r="K43">
            <v>0</v>
          </cell>
          <cell r="P43">
            <v>0</v>
          </cell>
        </row>
        <row r="44">
          <cell r="K44">
            <v>0</v>
          </cell>
          <cell r="P44">
            <v>0</v>
          </cell>
        </row>
        <row r="45">
          <cell r="K45">
            <v>0</v>
          </cell>
          <cell r="P45">
            <v>0</v>
          </cell>
        </row>
        <row r="46">
          <cell r="K46">
            <v>0</v>
          </cell>
          <cell r="P46">
            <v>0</v>
          </cell>
        </row>
        <row r="47">
          <cell r="K47">
            <v>0</v>
          </cell>
          <cell r="P47">
            <v>0</v>
          </cell>
        </row>
        <row r="48">
          <cell r="K48">
            <v>0</v>
          </cell>
          <cell r="P48">
            <v>0</v>
          </cell>
        </row>
        <row r="49">
          <cell r="K49">
            <v>0</v>
          </cell>
          <cell r="P49">
            <v>0</v>
          </cell>
        </row>
        <row r="50">
          <cell r="K50">
            <v>0</v>
          </cell>
          <cell r="P50">
            <v>0</v>
          </cell>
        </row>
        <row r="51">
          <cell r="K51">
            <v>0</v>
          </cell>
          <cell r="P51">
            <v>0</v>
          </cell>
        </row>
        <row r="52">
          <cell r="K52">
            <v>0</v>
          </cell>
          <cell r="P52">
            <v>0</v>
          </cell>
        </row>
        <row r="53">
          <cell r="K53">
            <v>0</v>
          </cell>
          <cell r="P53">
            <v>0</v>
          </cell>
        </row>
        <row r="54">
          <cell r="K54">
            <v>0</v>
          </cell>
          <cell r="P54">
            <v>0</v>
          </cell>
        </row>
        <row r="55">
          <cell r="K55">
            <v>0</v>
          </cell>
          <cell r="P55">
            <v>0</v>
          </cell>
        </row>
        <row r="56">
          <cell r="K56">
            <v>0</v>
          </cell>
          <cell r="P56">
            <v>0</v>
          </cell>
        </row>
        <row r="57">
          <cell r="K57">
            <v>0</v>
          </cell>
          <cell r="P57">
            <v>0</v>
          </cell>
        </row>
        <row r="58">
          <cell r="K58">
            <v>0</v>
          </cell>
          <cell r="P58">
            <v>0</v>
          </cell>
        </row>
        <row r="59">
          <cell r="K59">
            <v>0</v>
          </cell>
          <cell r="P59">
            <v>0</v>
          </cell>
        </row>
        <row r="60">
          <cell r="K60">
            <v>0</v>
          </cell>
          <cell r="P60">
            <v>0</v>
          </cell>
        </row>
        <row r="61">
          <cell r="K61">
            <v>0</v>
          </cell>
          <cell r="P61">
            <v>0</v>
          </cell>
        </row>
        <row r="62">
          <cell r="K62">
            <v>25314.082245950936</v>
          </cell>
          <cell r="P62">
            <v>5508</v>
          </cell>
        </row>
        <row r="63">
          <cell r="K63">
            <v>0</v>
          </cell>
          <cell r="P63">
            <v>0</v>
          </cell>
        </row>
        <row r="64">
          <cell r="K64">
            <v>0</v>
          </cell>
          <cell r="P64">
            <v>0</v>
          </cell>
        </row>
        <row r="65">
          <cell r="K65">
            <v>0</v>
          </cell>
          <cell r="P65">
            <v>0</v>
          </cell>
        </row>
        <row r="66">
          <cell r="K66">
            <v>0</v>
          </cell>
          <cell r="P66">
            <v>0</v>
          </cell>
        </row>
        <row r="67">
          <cell r="K67">
            <v>0</v>
          </cell>
          <cell r="P67">
            <v>0</v>
          </cell>
        </row>
        <row r="68">
          <cell r="K68">
            <v>0</v>
          </cell>
          <cell r="P68">
            <v>0</v>
          </cell>
        </row>
        <row r="69">
          <cell r="K69">
            <v>-25173.138549393487</v>
          </cell>
          <cell r="P69">
            <v>-12700.800000000001</v>
          </cell>
        </row>
        <row r="70">
          <cell r="K70">
            <v>0</v>
          </cell>
          <cell r="P70">
            <v>0</v>
          </cell>
        </row>
        <row r="71">
          <cell r="K71">
            <v>0</v>
          </cell>
          <cell r="P71">
            <v>0</v>
          </cell>
        </row>
        <row r="72">
          <cell r="K72">
            <v>0</v>
          </cell>
          <cell r="P72">
            <v>0</v>
          </cell>
        </row>
      </sheetData>
      <sheetData sheetId="4">
        <row r="7">
          <cell r="K7">
            <v>0</v>
          </cell>
          <cell r="P7">
            <v>0</v>
          </cell>
        </row>
        <row r="8">
          <cell r="K8">
            <v>0</v>
          </cell>
          <cell r="P8">
            <v>0</v>
          </cell>
        </row>
        <row r="9">
          <cell r="K9">
            <v>0</v>
          </cell>
          <cell r="P9">
            <v>0</v>
          </cell>
        </row>
        <row r="10">
          <cell r="K10">
            <v>0</v>
          </cell>
          <cell r="P10">
            <v>0</v>
          </cell>
        </row>
        <row r="11">
          <cell r="K11">
            <v>0</v>
          </cell>
          <cell r="P11">
            <v>0</v>
          </cell>
        </row>
        <row r="12">
          <cell r="K12">
            <v>0</v>
          </cell>
          <cell r="P12">
            <v>0</v>
          </cell>
        </row>
        <row r="13">
          <cell r="K13">
            <v>0</v>
          </cell>
          <cell r="P13">
            <v>0</v>
          </cell>
        </row>
        <row r="14">
          <cell r="K14">
            <v>0</v>
          </cell>
          <cell r="P14">
            <v>0</v>
          </cell>
        </row>
        <row r="15">
          <cell r="K15">
            <v>0</v>
          </cell>
          <cell r="P15">
            <v>0</v>
          </cell>
        </row>
        <row r="16">
          <cell r="K16">
            <v>0</v>
          </cell>
          <cell r="P16">
            <v>0</v>
          </cell>
        </row>
        <row r="17">
          <cell r="K17">
            <v>0</v>
          </cell>
          <cell r="P17">
            <v>0</v>
          </cell>
        </row>
        <row r="18">
          <cell r="K18">
            <v>0</v>
          </cell>
          <cell r="P18">
            <v>0</v>
          </cell>
        </row>
        <row r="19">
          <cell r="K19">
            <v>0</v>
          </cell>
          <cell r="P19">
            <v>0</v>
          </cell>
        </row>
        <row r="20">
          <cell r="K20">
            <v>0</v>
          </cell>
          <cell r="P20">
            <v>0</v>
          </cell>
        </row>
        <row r="21">
          <cell r="K21">
            <v>0</v>
          </cell>
          <cell r="P21">
            <v>0</v>
          </cell>
        </row>
        <row r="22">
          <cell r="K22">
            <v>0</v>
          </cell>
          <cell r="P22">
            <v>0</v>
          </cell>
        </row>
        <row r="23">
          <cell r="K23">
            <v>0</v>
          </cell>
          <cell r="P23">
            <v>0</v>
          </cell>
        </row>
        <row r="24">
          <cell r="K24">
            <v>0</v>
          </cell>
          <cell r="P24">
            <v>0</v>
          </cell>
        </row>
        <row r="25">
          <cell r="K25">
            <v>0</v>
          </cell>
          <cell r="P25">
            <v>0</v>
          </cell>
        </row>
        <row r="26">
          <cell r="K26">
            <v>0</v>
          </cell>
          <cell r="P26">
            <v>0</v>
          </cell>
        </row>
        <row r="27">
          <cell r="K27">
            <v>0</v>
          </cell>
          <cell r="P27">
            <v>0</v>
          </cell>
        </row>
        <row r="28">
          <cell r="K28">
            <v>0</v>
          </cell>
          <cell r="P28">
            <v>0</v>
          </cell>
        </row>
        <row r="29">
          <cell r="K29">
            <v>0</v>
          </cell>
          <cell r="P29">
            <v>0</v>
          </cell>
        </row>
        <row r="30">
          <cell r="K30">
            <v>0</v>
          </cell>
          <cell r="P30">
            <v>0</v>
          </cell>
        </row>
        <row r="31">
          <cell r="K31">
            <v>0</v>
          </cell>
          <cell r="P31">
            <v>0</v>
          </cell>
        </row>
        <row r="32">
          <cell r="K32">
            <v>0</v>
          </cell>
          <cell r="P32">
            <v>0</v>
          </cell>
        </row>
        <row r="33">
          <cell r="K33">
            <v>0</v>
          </cell>
          <cell r="P33">
            <v>0</v>
          </cell>
        </row>
        <row r="34">
          <cell r="K34">
            <v>0</v>
          </cell>
          <cell r="P34">
            <v>0</v>
          </cell>
        </row>
        <row r="35">
          <cell r="K35">
            <v>0</v>
          </cell>
          <cell r="P35">
            <v>0</v>
          </cell>
        </row>
        <row r="36">
          <cell r="K36">
            <v>0</v>
          </cell>
          <cell r="P36">
            <v>0</v>
          </cell>
        </row>
        <row r="37">
          <cell r="K37">
            <v>0</v>
          </cell>
          <cell r="P37">
            <v>0</v>
          </cell>
        </row>
        <row r="38">
          <cell r="K38">
            <v>0</v>
          </cell>
          <cell r="P38">
            <v>0</v>
          </cell>
        </row>
        <row r="39">
          <cell r="K39">
            <v>0</v>
          </cell>
          <cell r="P39">
            <v>0</v>
          </cell>
        </row>
        <row r="40">
          <cell r="K40">
            <v>0</v>
          </cell>
          <cell r="P40">
            <v>0</v>
          </cell>
        </row>
        <row r="41">
          <cell r="K41">
            <v>0</v>
          </cell>
          <cell r="P41">
            <v>0</v>
          </cell>
        </row>
        <row r="42">
          <cell r="K42">
            <v>0</v>
          </cell>
          <cell r="P42">
            <v>0</v>
          </cell>
        </row>
        <row r="43">
          <cell r="K43">
            <v>0</v>
          </cell>
          <cell r="P43">
            <v>0</v>
          </cell>
        </row>
        <row r="44">
          <cell r="K44">
            <v>0</v>
          </cell>
          <cell r="P44">
            <v>0</v>
          </cell>
        </row>
        <row r="45">
          <cell r="K45">
            <v>0</v>
          </cell>
          <cell r="P45">
            <v>0</v>
          </cell>
        </row>
        <row r="46">
          <cell r="K46">
            <v>0</v>
          </cell>
          <cell r="P46">
            <v>0</v>
          </cell>
        </row>
        <row r="47">
          <cell r="K47">
            <v>0</v>
          </cell>
          <cell r="P47">
            <v>0</v>
          </cell>
        </row>
        <row r="48">
          <cell r="K48">
            <v>0</v>
          </cell>
          <cell r="P48">
            <v>0</v>
          </cell>
        </row>
        <row r="49">
          <cell r="K49">
            <v>0</v>
          </cell>
          <cell r="P49">
            <v>0</v>
          </cell>
        </row>
        <row r="50">
          <cell r="K50">
            <v>0</v>
          </cell>
          <cell r="P50">
            <v>0</v>
          </cell>
        </row>
        <row r="51">
          <cell r="K51">
            <v>0</v>
          </cell>
          <cell r="P51">
            <v>0</v>
          </cell>
        </row>
        <row r="52">
          <cell r="K52">
            <v>0</v>
          </cell>
          <cell r="P52">
            <v>0</v>
          </cell>
        </row>
        <row r="53">
          <cell r="K53">
            <v>0</v>
          </cell>
          <cell r="P53">
            <v>0</v>
          </cell>
        </row>
        <row r="54">
          <cell r="K54">
            <v>0</v>
          </cell>
          <cell r="P54">
            <v>0</v>
          </cell>
        </row>
        <row r="55">
          <cell r="K55">
            <v>5393.6121863971766</v>
          </cell>
          <cell r="P55">
            <v>2345</v>
          </cell>
        </row>
        <row r="56">
          <cell r="K56">
            <v>0</v>
          </cell>
          <cell r="P56">
            <v>0</v>
          </cell>
        </row>
        <row r="57">
          <cell r="K57">
            <v>0</v>
          </cell>
          <cell r="P57">
            <v>0</v>
          </cell>
        </row>
        <row r="58">
          <cell r="K58">
            <v>0</v>
          </cell>
          <cell r="P58">
            <v>0</v>
          </cell>
        </row>
        <row r="59">
          <cell r="K59">
            <v>0</v>
          </cell>
          <cell r="P59">
            <v>0</v>
          </cell>
        </row>
        <row r="60">
          <cell r="K60">
            <v>0</v>
          </cell>
          <cell r="P60">
            <v>0</v>
          </cell>
        </row>
        <row r="61">
          <cell r="K61">
            <v>0</v>
          </cell>
          <cell r="P61">
            <v>0</v>
          </cell>
        </row>
        <row r="62">
          <cell r="K62">
            <v>0</v>
          </cell>
          <cell r="P62">
            <v>0</v>
          </cell>
        </row>
        <row r="63">
          <cell r="K63">
            <v>0</v>
          </cell>
          <cell r="P63">
            <v>0</v>
          </cell>
        </row>
        <row r="64">
          <cell r="K64">
            <v>0</v>
          </cell>
          <cell r="P64">
            <v>0</v>
          </cell>
        </row>
        <row r="65">
          <cell r="K65">
            <v>0</v>
          </cell>
          <cell r="P65">
            <v>0</v>
          </cell>
        </row>
        <row r="66">
          <cell r="K66">
            <v>0</v>
          </cell>
          <cell r="P66">
            <v>0</v>
          </cell>
        </row>
        <row r="67">
          <cell r="K67">
            <v>0</v>
          </cell>
          <cell r="P67">
            <v>0</v>
          </cell>
        </row>
        <row r="68">
          <cell r="K68">
            <v>0</v>
          </cell>
          <cell r="P68">
            <v>0</v>
          </cell>
        </row>
        <row r="69">
          <cell r="K69">
            <v>0</v>
          </cell>
          <cell r="P69">
            <v>0</v>
          </cell>
        </row>
        <row r="70">
          <cell r="K70">
            <v>0</v>
          </cell>
          <cell r="P70">
            <v>0</v>
          </cell>
        </row>
        <row r="71">
          <cell r="K71">
            <v>0</v>
          </cell>
          <cell r="P71">
            <v>0</v>
          </cell>
        </row>
        <row r="72">
          <cell r="K72">
            <v>0</v>
          </cell>
          <cell r="P72">
            <v>0</v>
          </cell>
        </row>
        <row r="73">
          <cell r="K73">
            <v>0</v>
          </cell>
          <cell r="P73">
            <v>0</v>
          </cell>
        </row>
        <row r="74">
          <cell r="K74">
            <v>0</v>
          </cell>
          <cell r="P74">
            <v>0</v>
          </cell>
        </row>
        <row r="75">
          <cell r="K75">
            <v>0</v>
          </cell>
          <cell r="P75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Summary of Simulation "/>
      <sheetName val="Table 1 State Summary "/>
      <sheetName val="Table 2_State Distrib and Adjs"/>
      <sheetName val="Table 2A-1_EFT (Annual)"/>
      <sheetName val="Table 2A-2 EFT (Monthly)"/>
      <sheetName val="Table 3 Levels 1&amp;2"/>
      <sheetName val="Table 3A-CityParish LEA "/>
      <sheetName val="Table 4 Level 3"/>
      <sheetName val="Table 4A Stipends"/>
      <sheetName val="Table 4B Rewards"/>
      <sheetName val="Table 5A1 Labs "/>
      <sheetName val="Table 5A2 LSMSA"/>
      <sheetName val="Table 5A3 NOCCA"/>
      <sheetName val="Table 5A4_LSDVI"/>
      <sheetName val="Table 5A5_SSD"/>
      <sheetName val="Table 5B1_RSD_Orleans"/>
      <sheetName val="Table 5B2_RSD_LA"/>
      <sheetName val="Table 5C1A-Madison Prep"/>
      <sheetName val="Table 5C1B-DArbonne"/>
      <sheetName val="Table 5C1C-Intl_VIBE"/>
      <sheetName val="Table 5C1D-NOMMA"/>
      <sheetName val="Table 5C1E-LFNO"/>
      <sheetName val="Table 5C1F-Lake Charles Charter"/>
      <sheetName val="Table 5C1G-JS Clark Academy"/>
      <sheetName val="Table 5C1H-Southwest LA Charter"/>
      <sheetName val="Table 5C1J-LA Key Academy"/>
      <sheetName val="Table 5C1K-Jefferson Chamber"/>
      <sheetName val="Table 5C1L-Tallulah Charter"/>
      <sheetName val="Table 5C1M-Northshore Charter"/>
      <sheetName val="Table 5C1N-EBR Charter"/>
      <sheetName val="Table 5C1O-Lake Charles HS"/>
      <sheetName val="Table 5C1P-Delta Charter"/>
      <sheetName val="Table 5C2 - LA Virtual Admy"/>
      <sheetName val="Table 5C3 - LA Connections EBR"/>
      <sheetName val="Table 5D1 - New Vision"/>
      <sheetName val="Table 5D2 - Glencoe"/>
      <sheetName val="Table 5D3 - International"/>
      <sheetName val="Table 5D4 - Avoyelles"/>
      <sheetName val="Table 5D5 - Delhi"/>
      <sheetName val="Table 5D6 - Milestone"/>
      <sheetName val="Table 5D7 - Max"/>
      <sheetName val="Table 5D8 - Belle Chasse"/>
      <sheetName val="Table 5E_OJJ"/>
      <sheetName val="Table 5F Scholarships"/>
      <sheetName val="Table 6 (Local Deduct Calc.)"/>
      <sheetName val="Table 7 Local Revenue"/>
      <sheetName val="Table 8 2.1.12 MFP Funded"/>
      <sheetName val="2-1-12 MFP Funded by si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5">
          <cell r="P75">
            <v>703.90028204588873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Factors"/>
      <sheetName val="Summary of Simulation "/>
      <sheetName val="Table 1 State Summary "/>
      <sheetName val="Table 2_State with Midyear Adjs"/>
      <sheetName val="Table 2A-1_EFT (Annual)"/>
      <sheetName val="Table 2A-2 EFT (Monthly)"/>
      <sheetName val="Adjusted Amounts"/>
      <sheetName val="LAVCA Adjustment"/>
      <sheetName val="LA Conn Adjustment"/>
      <sheetName val="Table 5C- Legacy Type 2"/>
      <sheetName val="Table 3 Levels 1&amp;2"/>
      <sheetName val="Table 4 Level 3"/>
      <sheetName val="Table 4A Stipends"/>
      <sheetName val="Table 5A1 Labs, LSMSA, NOCCA "/>
      <sheetName val="Table 5A2 LSMSA"/>
      <sheetName val="Table 5A3 NOCCA"/>
      <sheetName val="Table 5B1_RSD_Orleans"/>
      <sheetName val="Table 5B2_RSD_LA"/>
      <sheetName val="Table 5C1A-Madison Prep"/>
      <sheetName val="Table 5C1B-DArbonne"/>
      <sheetName val="Table 5C1C-Intl_VIBE"/>
      <sheetName val="Table 5C1D-NOMMA"/>
      <sheetName val="Table 5C1E-LFNO"/>
      <sheetName val="Table 5C1F-Lake Charles Charter"/>
      <sheetName val="Table 5C1G-JS Clark Academy"/>
      <sheetName val="Table 5C1H-Southwest LA Charter"/>
      <sheetName val="Table 5C2 - LA Virtual Admy"/>
      <sheetName val="Table 5C3 - LA Connections EBR"/>
      <sheetName val="Table 5E_OJJ"/>
      <sheetName val="Table 6 (Local Deduct Calc.)"/>
      <sheetName val="Table 7 Local Revenue"/>
      <sheetName val="Table 8 2.1.12 MFP Funded"/>
      <sheetName val="2-1-12 MFP Funded by sit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X5">
            <v>-19924.604240852688</v>
          </cell>
          <cell r="AB5">
            <v>-9517.5</v>
          </cell>
        </row>
        <row r="6">
          <cell r="X6">
            <v>0</v>
          </cell>
          <cell r="AB6">
            <v>0</v>
          </cell>
        </row>
        <row r="7">
          <cell r="X7">
            <v>0</v>
          </cell>
          <cell r="AB7">
            <v>0</v>
          </cell>
        </row>
        <row r="8">
          <cell r="X8">
            <v>0</v>
          </cell>
          <cell r="AB8">
            <v>0</v>
          </cell>
        </row>
        <row r="9">
          <cell r="X9">
            <v>0</v>
          </cell>
          <cell r="AB9">
            <v>0</v>
          </cell>
        </row>
        <row r="10">
          <cell r="X10">
            <v>0</v>
          </cell>
          <cell r="AB10">
            <v>0</v>
          </cell>
        </row>
        <row r="11">
          <cell r="X11">
            <v>-1867.9549005671845</v>
          </cell>
          <cell r="AB11">
            <v>-11234.7</v>
          </cell>
        </row>
        <row r="12">
          <cell r="X12">
            <v>0</v>
          </cell>
          <cell r="AB12">
            <v>0</v>
          </cell>
        </row>
        <row r="13">
          <cell r="X13">
            <v>-5871.1730902856889</v>
          </cell>
          <cell r="AB13">
            <v>-4184.1000000000004</v>
          </cell>
        </row>
        <row r="14">
          <cell r="X14">
            <v>-7891.3228077837548</v>
          </cell>
          <cell r="AB14">
            <v>-7911</v>
          </cell>
        </row>
        <row r="15">
          <cell r="X15">
            <v>0</v>
          </cell>
          <cell r="AB15">
            <v>0</v>
          </cell>
        </row>
        <row r="16">
          <cell r="X16">
            <v>0</v>
          </cell>
          <cell r="AB16">
            <v>0</v>
          </cell>
        </row>
        <row r="17">
          <cell r="X17">
            <v>-5108.6481064335057</v>
          </cell>
          <cell r="AB17">
            <v>-2284.2000000000003</v>
          </cell>
        </row>
        <row r="18">
          <cell r="X18">
            <v>0</v>
          </cell>
          <cell r="AB18">
            <v>0</v>
          </cell>
        </row>
        <row r="19">
          <cell r="X19">
            <v>0</v>
          </cell>
          <cell r="AB19">
            <v>0</v>
          </cell>
        </row>
        <row r="20">
          <cell r="X20">
            <v>0</v>
          </cell>
          <cell r="AB20">
            <v>0</v>
          </cell>
        </row>
        <row r="21">
          <cell r="X21">
            <v>-6927.1511569350178</v>
          </cell>
          <cell r="AB21">
            <v>-11881.800000000001</v>
          </cell>
        </row>
        <row r="22">
          <cell r="X22">
            <v>0</v>
          </cell>
          <cell r="AB22">
            <v>0</v>
          </cell>
        </row>
        <row r="23">
          <cell r="X23">
            <v>0</v>
          </cell>
          <cell r="AB23">
            <v>0</v>
          </cell>
        </row>
        <row r="24">
          <cell r="X24">
            <v>0</v>
          </cell>
          <cell r="AB24">
            <v>0</v>
          </cell>
        </row>
        <row r="25">
          <cell r="X25">
            <v>0</v>
          </cell>
          <cell r="AB25">
            <v>0</v>
          </cell>
        </row>
        <row r="26">
          <cell r="X26">
            <v>0</v>
          </cell>
          <cell r="AB26">
            <v>0</v>
          </cell>
        </row>
        <row r="27">
          <cell r="X27">
            <v>0</v>
          </cell>
          <cell r="AB27">
            <v>0</v>
          </cell>
        </row>
        <row r="28">
          <cell r="X28">
            <v>-2863.8617737044019</v>
          </cell>
          <cell r="AB28">
            <v>-8379.9</v>
          </cell>
        </row>
        <row r="29">
          <cell r="X29">
            <v>0</v>
          </cell>
          <cell r="AB29">
            <v>0</v>
          </cell>
        </row>
        <row r="30">
          <cell r="X30">
            <v>-5701.5410354181458</v>
          </cell>
          <cell r="AB30">
            <v>-4681.8</v>
          </cell>
        </row>
        <row r="31">
          <cell r="X31">
            <v>0</v>
          </cell>
          <cell r="AB31">
            <v>0</v>
          </cell>
        </row>
        <row r="32">
          <cell r="X32">
            <v>-3321.2185804353508</v>
          </cell>
          <cell r="AB32">
            <v>-4804.2</v>
          </cell>
        </row>
        <row r="33">
          <cell r="X33">
            <v>-3442.0166399199852</v>
          </cell>
          <cell r="AB33">
            <v>-3972.6</v>
          </cell>
        </row>
        <row r="34">
          <cell r="X34">
            <v>0</v>
          </cell>
          <cell r="AB34">
            <v>0</v>
          </cell>
        </row>
        <row r="35">
          <cell r="X35">
            <v>0</v>
          </cell>
          <cell r="AB35">
            <v>0</v>
          </cell>
        </row>
        <row r="36">
          <cell r="X36">
            <v>0</v>
          </cell>
          <cell r="AB36">
            <v>0</v>
          </cell>
        </row>
        <row r="37">
          <cell r="X37">
            <v>-4446.2780169588186</v>
          </cell>
          <cell r="AB37">
            <v>-2691</v>
          </cell>
        </row>
        <row r="38">
          <cell r="X38">
            <v>0</v>
          </cell>
          <cell r="AB38">
            <v>0</v>
          </cell>
        </row>
        <row r="39">
          <cell r="X39">
            <v>0</v>
          </cell>
          <cell r="AB39">
            <v>0</v>
          </cell>
        </row>
        <row r="40">
          <cell r="X40">
            <v>-6532.9082567218884</v>
          </cell>
          <cell r="AB40">
            <v>-4395.6000000000004</v>
          </cell>
        </row>
        <row r="41">
          <cell r="X41">
            <v>0</v>
          </cell>
          <cell r="AB41">
            <v>0</v>
          </cell>
        </row>
        <row r="42">
          <cell r="X42">
            <v>-2410.5827286512372</v>
          </cell>
          <cell r="AB42">
            <v>-9838.8000000000011</v>
          </cell>
        </row>
        <row r="43">
          <cell r="X43">
            <v>-2868.3684316843351</v>
          </cell>
          <cell r="AB43">
            <v>-3885.3</v>
          </cell>
        </row>
        <row r="44">
          <cell r="X44">
            <v>-4575.728704330274</v>
          </cell>
          <cell r="AB44">
            <v>-2638.8</v>
          </cell>
        </row>
        <row r="45">
          <cell r="X45">
            <v>0</v>
          </cell>
          <cell r="AB45">
            <v>0</v>
          </cell>
        </row>
        <row r="46">
          <cell r="X46">
            <v>0</v>
          </cell>
          <cell r="AB46">
            <v>0</v>
          </cell>
        </row>
        <row r="47">
          <cell r="X47">
            <v>0</v>
          </cell>
          <cell r="AB47">
            <v>0</v>
          </cell>
        </row>
        <row r="48">
          <cell r="X48">
            <v>0</v>
          </cell>
          <cell r="AB48">
            <v>0</v>
          </cell>
        </row>
        <row r="49">
          <cell r="X49">
            <v>0</v>
          </cell>
          <cell r="AB49">
            <v>0</v>
          </cell>
        </row>
        <row r="50">
          <cell r="X50">
            <v>0</v>
          </cell>
          <cell r="AB50">
            <v>0</v>
          </cell>
        </row>
        <row r="51">
          <cell r="X51">
            <v>0</v>
          </cell>
          <cell r="AB51">
            <v>0</v>
          </cell>
        </row>
        <row r="52">
          <cell r="X52">
            <v>0</v>
          </cell>
          <cell r="AB52">
            <v>0</v>
          </cell>
        </row>
        <row r="53">
          <cell r="X53">
            <v>-1814.0703441223684</v>
          </cell>
          <cell r="AB53">
            <v>0</v>
          </cell>
        </row>
        <row r="54">
          <cell r="X54">
            <v>0</v>
          </cell>
          <cell r="AB54">
            <v>0</v>
          </cell>
        </row>
        <row r="55">
          <cell r="X55">
            <v>0</v>
          </cell>
          <cell r="AB55">
            <v>0</v>
          </cell>
        </row>
        <row r="56">
          <cell r="X56">
            <v>-8092.6477204110288</v>
          </cell>
          <cell r="AB56">
            <v>-8811</v>
          </cell>
        </row>
        <row r="57">
          <cell r="X57">
            <v>-8918.9299338952187</v>
          </cell>
          <cell r="AB57">
            <v>-3483</v>
          </cell>
        </row>
        <row r="58">
          <cell r="X58">
            <v>0</v>
          </cell>
          <cell r="AB58">
            <v>0</v>
          </cell>
        </row>
        <row r="59">
          <cell r="X59">
            <v>-11918.228956589004</v>
          </cell>
          <cell r="AB59">
            <v>-5650.2</v>
          </cell>
        </row>
        <row r="60">
          <cell r="X60">
            <v>0</v>
          </cell>
          <cell r="AB60">
            <v>0</v>
          </cell>
        </row>
        <row r="61">
          <cell r="X61">
            <v>0</v>
          </cell>
          <cell r="AB61">
            <v>0</v>
          </cell>
        </row>
        <row r="62">
          <cell r="X62">
            <v>0</v>
          </cell>
          <cell r="AB62">
            <v>0</v>
          </cell>
        </row>
        <row r="63">
          <cell r="X63">
            <v>-13076.244105447768</v>
          </cell>
          <cell r="AB63">
            <v>-4131</v>
          </cell>
        </row>
        <row r="64">
          <cell r="X64">
            <v>-4392.2241212554918</v>
          </cell>
          <cell r="AB64">
            <v>-3532.5</v>
          </cell>
        </row>
        <row r="65">
          <cell r="X65">
            <v>-2722.2545909609512</v>
          </cell>
          <cell r="AB65">
            <v>0</v>
          </cell>
        </row>
        <row r="66">
          <cell r="X66">
            <v>0</v>
          </cell>
          <cell r="AB66">
            <v>0</v>
          </cell>
        </row>
        <row r="67">
          <cell r="X67">
            <v>0</v>
          </cell>
          <cell r="AB67">
            <v>0</v>
          </cell>
        </row>
        <row r="68">
          <cell r="X68">
            <v>0</v>
          </cell>
          <cell r="AB68">
            <v>0</v>
          </cell>
        </row>
        <row r="69">
          <cell r="X69">
            <v>0</v>
          </cell>
          <cell r="AB69">
            <v>0</v>
          </cell>
        </row>
        <row r="70">
          <cell r="X70">
            <v>11709.421094380463</v>
          </cell>
          <cell r="AB70">
            <v>9525.6</v>
          </cell>
        </row>
        <row r="71">
          <cell r="X71">
            <v>0</v>
          </cell>
          <cell r="AB71">
            <v>0</v>
          </cell>
        </row>
        <row r="72">
          <cell r="X72">
            <v>0</v>
          </cell>
          <cell r="AB72">
            <v>0</v>
          </cell>
        </row>
        <row r="73">
          <cell r="X73">
            <v>0</v>
          </cell>
          <cell r="AB73">
            <v>0</v>
          </cell>
        </row>
      </sheetData>
      <sheetData sheetId="9">
        <row r="5">
          <cell r="X5">
            <v>0</v>
          </cell>
        </row>
        <row r="6">
          <cell r="X6">
            <v>0</v>
          </cell>
        </row>
        <row r="7">
          <cell r="X7">
            <v>0</v>
          </cell>
        </row>
        <row r="8">
          <cell r="X8">
            <v>0</v>
          </cell>
        </row>
        <row r="9">
          <cell r="X9">
            <v>0</v>
          </cell>
        </row>
        <row r="10">
          <cell r="X10">
            <v>0</v>
          </cell>
        </row>
        <row r="11">
          <cell r="X11">
            <v>0</v>
          </cell>
        </row>
        <row r="12">
          <cell r="X12">
            <v>0</v>
          </cell>
        </row>
        <row r="13">
          <cell r="X13">
            <v>0</v>
          </cell>
        </row>
        <row r="14">
          <cell r="X14">
            <v>0</v>
          </cell>
        </row>
        <row r="15">
          <cell r="X15">
            <v>0</v>
          </cell>
        </row>
        <row r="16">
          <cell r="X16">
            <v>0</v>
          </cell>
        </row>
        <row r="17">
          <cell r="X17">
            <v>0</v>
          </cell>
        </row>
        <row r="18">
          <cell r="X18">
            <v>0</v>
          </cell>
        </row>
        <row r="19">
          <cell r="X19">
            <v>0</v>
          </cell>
        </row>
        <row r="20">
          <cell r="X20">
            <v>0</v>
          </cell>
        </row>
        <row r="21">
          <cell r="X21">
            <v>0</v>
          </cell>
        </row>
        <row r="22">
          <cell r="X22">
            <v>0</v>
          </cell>
        </row>
        <row r="23">
          <cell r="X23">
            <v>0</v>
          </cell>
        </row>
        <row r="24">
          <cell r="X24">
            <v>0</v>
          </cell>
        </row>
        <row r="25">
          <cell r="X25">
            <v>0</v>
          </cell>
        </row>
        <row r="26">
          <cell r="X26">
            <v>0</v>
          </cell>
        </row>
        <row r="27">
          <cell r="X27">
            <v>0</v>
          </cell>
        </row>
        <row r="28">
          <cell r="X28">
            <v>0</v>
          </cell>
        </row>
        <row r="29">
          <cell r="X29">
            <v>0</v>
          </cell>
        </row>
        <row r="30">
          <cell r="X30">
            <v>0</v>
          </cell>
        </row>
        <row r="31">
          <cell r="X31">
            <v>0</v>
          </cell>
        </row>
        <row r="32">
          <cell r="X32">
            <v>0</v>
          </cell>
        </row>
        <row r="33">
          <cell r="X33">
            <v>0</v>
          </cell>
        </row>
        <row r="34">
          <cell r="X34">
            <v>0</v>
          </cell>
        </row>
        <row r="35">
          <cell r="X35">
            <v>0</v>
          </cell>
        </row>
        <row r="36">
          <cell r="X36">
            <v>0</v>
          </cell>
        </row>
        <row r="37">
          <cell r="X37">
            <v>0</v>
          </cell>
        </row>
        <row r="38">
          <cell r="X38">
            <v>0</v>
          </cell>
        </row>
        <row r="39">
          <cell r="X39">
            <v>0</v>
          </cell>
        </row>
        <row r="40">
          <cell r="X40">
            <v>0</v>
          </cell>
        </row>
        <row r="41">
          <cell r="X41">
            <v>0</v>
          </cell>
        </row>
        <row r="42">
          <cell r="X42">
            <v>0</v>
          </cell>
        </row>
        <row r="43">
          <cell r="X43">
            <v>0</v>
          </cell>
        </row>
        <row r="44">
          <cell r="X44">
            <v>0</v>
          </cell>
        </row>
        <row r="45">
          <cell r="X45">
            <v>0</v>
          </cell>
        </row>
        <row r="46">
          <cell r="X46">
            <v>0</v>
          </cell>
        </row>
        <row r="47">
          <cell r="X47">
            <v>0</v>
          </cell>
        </row>
        <row r="48">
          <cell r="X48">
            <v>0</v>
          </cell>
        </row>
        <row r="49">
          <cell r="X49">
            <v>0</v>
          </cell>
        </row>
        <row r="50">
          <cell r="X50">
            <v>0</v>
          </cell>
        </row>
        <row r="51">
          <cell r="X51">
            <v>0</v>
          </cell>
        </row>
        <row r="52">
          <cell r="X52">
            <v>0</v>
          </cell>
        </row>
        <row r="53">
          <cell r="X53">
            <v>0</v>
          </cell>
        </row>
        <row r="54">
          <cell r="X54">
            <v>0</v>
          </cell>
        </row>
        <row r="55">
          <cell r="X55">
            <v>0</v>
          </cell>
        </row>
        <row r="56">
          <cell r="X56">
            <v>0</v>
          </cell>
        </row>
        <row r="57">
          <cell r="X57">
            <v>0</v>
          </cell>
        </row>
        <row r="58">
          <cell r="X58">
            <v>0</v>
          </cell>
        </row>
        <row r="59">
          <cell r="X59">
            <v>0</v>
          </cell>
        </row>
        <row r="60">
          <cell r="X60">
            <v>0</v>
          </cell>
        </row>
        <row r="61">
          <cell r="X61">
            <v>0</v>
          </cell>
        </row>
        <row r="62">
          <cell r="X62">
            <v>0</v>
          </cell>
        </row>
        <row r="63">
          <cell r="X63">
            <v>-17434.992140597024</v>
          </cell>
          <cell r="AB63">
            <v>-5508</v>
          </cell>
        </row>
        <row r="64">
          <cell r="X64">
            <v>0</v>
          </cell>
          <cell r="AB64">
            <v>0</v>
          </cell>
        </row>
        <row r="65">
          <cell r="X65">
            <v>0</v>
          </cell>
          <cell r="AB65">
            <v>0</v>
          </cell>
        </row>
        <row r="66">
          <cell r="X66">
            <v>0</v>
          </cell>
          <cell r="AB66">
            <v>0</v>
          </cell>
        </row>
        <row r="67">
          <cell r="X67">
            <v>0</v>
          </cell>
          <cell r="AB67">
            <v>0</v>
          </cell>
        </row>
        <row r="68">
          <cell r="X68">
            <v>0</v>
          </cell>
          <cell r="AB68">
            <v>0</v>
          </cell>
        </row>
        <row r="69">
          <cell r="X69">
            <v>0</v>
          </cell>
          <cell r="AB69">
            <v>0</v>
          </cell>
        </row>
        <row r="70">
          <cell r="X70">
            <v>15612.56145917395</v>
          </cell>
          <cell r="AB70">
            <v>12700.800000000001</v>
          </cell>
        </row>
        <row r="71">
          <cell r="X71">
            <v>0</v>
          </cell>
          <cell r="AB71">
            <v>0</v>
          </cell>
        </row>
        <row r="72">
          <cell r="X72">
            <v>0</v>
          </cell>
          <cell r="AB72">
            <v>0</v>
          </cell>
        </row>
        <row r="73">
          <cell r="X73">
            <v>0</v>
          </cell>
          <cell r="AB73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ruary midyear adj "/>
      <sheetName val="Feb midyear adj_Delhi"/>
      <sheetName val="Feb midyear adj_LA virtual "/>
      <sheetName val="Feb midyear adj_Connections"/>
      <sheetName val="Feb midyear adj_OJJ"/>
    </sheetNames>
    <sheetDataSet>
      <sheetData sheetId="0" refreshError="1"/>
      <sheetData sheetId="1" refreshError="1"/>
      <sheetData sheetId="2">
        <row r="6">
          <cell r="M6">
            <v>-4909.0319999999992</v>
          </cell>
          <cell r="S6">
            <v>-1824.3</v>
          </cell>
        </row>
        <row r="7">
          <cell r="M7">
            <v>3101.4270449050746</v>
          </cell>
          <cell r="S7">
            <v>1154.25</v>
          </cell>
        </row>
        <row r="8">
          <cell r="M8">
            <v>6373.8695586895901</v>
          </cell>
          <cell r="S8">
            <v>6211.35</v>
          </cell>
        </row>
        <row r="9">
          <cell r="M9">
            <v>-23859.7613176333</v>
          </cell>
          <cell r="S9">
            <v>-11502</v>
          </cell>
        </row>
        <row r="10">
          <cell r="M10">
            <v>12232.446880240954</v>
          </cell>
          <cell r="S10">
            <v>2900.2500000000005</v>
          </cell>
        </row>
        <row r="11">
          <cell r="M11">
            <v>0</v>
          </cell>
          <cell r="S11">
            <v>0</v>
          </cell>
        </row>
        <row r="12">
          <cell r="M12">
            <v>-5168.0043196274419</v>
          </cell>
          <cell r="S12">
            <v>-28370.25</v>
          </cell>
        </row>
        <row r="13">
          <cell r="M13">
            <v>0</v>
          </cell>
          <cell r="S13">
            <v>0</v>
          </cell>
        </row>
        <row r="14">
          <cell r="M14">
            <v>4616.7041542979096</v>
          </cell>
          <cell r="S14">
            <v>4122</v>
          </cell>
        </row>
        <row r="15">
          <cell r="M15">
            <v>-13284.497624253625</v>
          </cell>
          <cell r="S15">
            <v>-11240.1</v>
          </cell>
        </row>
        <row r="16">
          <cell r="M16">
            <v>3318.2613741818695</v>
          </cell>
          <cell r="S16">
            <v>1484.1000000000001</v>
          </cell>
        </row>
        <row r="17">
          <cell r="M17">
            <v>0</v>
          </cell>
          <cell r="S17">
            <v>0</v>
          </cell>
        </row>
        <row r="18">
          <cell r="M18">
            <v>-42370.490888264554</v>
          </cell>
          <cell r="S18">
            <v>-15164.100000000002</v>
          </cell>
        </row>
        <row r="19">
          <cell r="M19">
            <v>-2951.5311575333399</v>
          </cell>
          <cell r="S19">
            <v>-1508.4</v>
          </cell>
        </row>
        <row r="20">
          <cell r="M20">
            <v>-5357.1392769100767</v>
          </cell>
          <cell r="S20">
            <v>-2295</v>
          </cell>
        </row>
        <row r="21">
          <cell r="M21">
            <v>0</v>
          </cell>
          <cell r="S21">
            <v>0</v>
          </cell>
        </row>
        <row r="22">
          <cell r="M22">
            <v>12815.081790784605</v>
          </cell>
          <cell r="S22">
            <v>19674.900000000001</v>
          </cell>
        </row>
        <row r="23">
          <cell r="M23">
            <v>0</v>
          </cell>
          <cell r="S23">
            <v>0</v>
          </cell>
        </row>
        <row r="24">
          <cell r="M24">
            <v>2749.3168264032684</v>
          </cell>
          <cell r="S24">
            <v>1011.15</v>
          </cell>
        </row>
        <row r="25">
          <cell r="M25">
            <v>2710.9645208720476</v>
          </cell>
          <cell r="S25">
            <v>971.1</v>
          </cell>
        </row>
        <row r="26">
          <cell r="M26">
            <v>8409.7656201337013</v>
          </cell>
          <cell r="S26">
            <v>2789.1000000000004</v>
          </cell>
        </row>
        <row r="27">
          <cell r="M27">
            <v>0</v>
          </cell>
          <cell r="S27">
            <v>0</v>
          </cell>
        </row>
        <row r="28">
          <cell r="M28">
            <v>4966.1007333311845</v>
          </cell>
          <cell r="S28">
            <v>2762.1</v>
          </cell>
        </row>
        <row r="29">
          <cell r="M29">
            <v>-4520.8911392767222</v>
          </cell>
          <cell r="S29">
            <v>-12590.099999999999</v>
          </cell>
        </row>
        <row r="30">
          <cell r="M30">
            <v>-1944.4689813277946</v>
          </cell>
          <cell r="S30">
            <v>-2265.75</v>
          </cell>
        </row>
        <row r="31">
          <cell r="M31">
            <v>21530.76066529029</v>
          </cell>
          <cell r="S31">
            <v>28393.199999999997</v>
          </cell>
        </row>
        <row r="32">
          <cell r="M32">
            <v>14418.13922577246</v>
          </cell>
          <cell r="S32">
            <v>6644.2500000000009</v>
          </cell>
        </row>
        <row r="33">
          <cell r="M33">
            <v>1827.7854880045861</v>
          </cell>
          <cell r="S33">
            <v>2265.3000000000002</v>
          </cell>
        </row>
        <row r="34">
          <cell r="M34">
            <v>0</v>
          </cell>
          <cell r="S34">
            <v>0</v>
          </cell>
        </row>
        <row r="35">
          <cell r="M35">
            <v>0</v>
          </cell>
          <cell r="S35">
            <v>0</v>
          </cell>
        </row>
        <row r="36">
          <cell r="M36">
            <v>-6552.5138358897311</v>
          </cell>
          <cell r="S36">
            <v>-6313.9500000000007</v>
          </cell>
        </row>
        <row r="37">
          <cell r="M37">
            <v>8072.8479056944361</v>
          </cell>
          <cell r="S37">
            <v>2531.25</v>
          </cell>
        </row>
        <row r="38">
          <cell r="M38">
            <v>-17221.384282134502</v>
          </cell>
          <cell r="S38">
            <v>-8221.5</v>
          </cell>
        </row>
        <row r="39">
          <cell r="M39">
            <v>2884.0040853608243</v>
          </cell>
          <cell r="S39">
            <v>1216.3500000000001</v>
          </cell>
        </row>
        <row r="40">
          <cell r="M40">
            <v>7428.4372296301954</v>
          </cell>
          <cell r="S40">
            <v>4249.8</v>
          </cell>
        </row>
        <row r="41">
          <cell r="M41">
            <v>-7196.5091837078235</v>
          </cell>
          <cell r="S41">
            <v>-8731.8000000000011</v>
          </cell>
        </row>
        <row r="42">
          <cell r="M42">
            <v>16539.388428773</v>
          </cell>
          <cell r="S42">
            <v>8181</v>
          </cell>
        </row>
        <row r="43">
          <cell r="M43">
            <v>-1451.9152238465667</v>
          </cell>
          <cell r="S43">
            <v>-5140.8</v>
          </cell>
        </row>
        <row r="44">
          <cell r="M44">
            <v>-3973.463996311506</v>
          </cell>
          <cell r="S44">
            <v>-3580.2000000000003</v>
          </cell>
        </row>
        <row r="45">
          <cell r="M45">
            <v>-24745.672907606189</v>
          </cell>
          <cell r="S45">
            <v>-12726.000000000002</v>
          </cell>
        </row>
        <row r="46">
          <cell r="M46">
            <v>0</v>
          </cell>
          <cell r="S46">
            <v>0</v>
          </cell>
        </row>
        <row r="47">
          <cell r="M47">
            <v>0</v>
          </cell>
          <cell r="S47">
            <v>0</v>
          </cell>
        </row>
        <row r="48">
          <cell r="M48">
            <v>8825.2094983678362</v>
          </cell>
          <cell r="S48">
            <v>7187.4000000000005</v>
          </cell>
        </row>
        <row r="49">
          <cell r="M49">
            <v>2259.1815591036734</v>
          </cell>
          <cell r="S49">
            <v>2327.85</v>
          </cell>
        </row>
        <row r="50">
          <cell r="M50">
            <v>0</v>
          </cell>
          <cell r="S50">
            <v>0</v>
          </cell>
        </row>
        <row r="51">
          <cell r="M51">
            <v>-2938.5769544910254</v>
          </cell>
          <cell r="S51">
            <v>-794.7</v>
          </cell>
        </row>
        <row r="52">
          <cell r="M52">
            <v>-3917.8147624872336</v>
          </cell>
          <cell r="S52">
            <v>-8779.5</v>
          </cell>
        </row>
        <row r="53">
          <cell r="M53">
            <v>5850.9505496013035</v>
          </cell>
          <cell r="S53">
            <v>6933.6</v>
          </cell>
        </row>
        <row r="54">
          <cell r="M54">
            <v>2449.9091979309014</v>
          </cell>
          <cell r="S54">
            <v>1005.75</v>
          </cell>
        </row>
        <row r="55">
          <cell r="M55">
            <v>-7696.1181893352732</v>
          </cell>
          <cell r="S55">
            <v>-3420.8999999999996</v>
          </cell>
        </row>
        <row r="56">
          <cell r="M56">
            <v>-11801.782220396395</v>
          </cell>
          <cell r="S56">
            <v>-9094.5</v>
          </cell>
        </row>
        <row r="57">
          <cell r="M57">
            <v>10160.208706874659</v>
          </cell>
          <cell r="S57">
            <v>8679.6</v>
          </cell>
        </row>
        <row r="58">
          <cell r="M58">
            <v>7337.3230520688667</v>
          </cell>
          <cell r="S58">
            <v>2589.3000000000002</v>
          </cell>
        </row>
        <row r="59">
          <cell r="M59">
            <v>0</v>
          </cell>
          <cell r="S59">
            <v>0</v>
          </cell>
        </row>
        <row r="60">
          <cell r="M60">
            <v>-6566.0611580023033</v>
          </cell>
          <cell r="S60">
            <v>-4079.7000000000003</v>
          </cell>
        </row>
        <row r="61">
          <cell r="M61">
            <v>-5142.8882743758959</v>
          </cell>
          <cell r="S61">
            <v>-2614.5</v>
          </cell>
        </row>
        <row r="62">
          <cell r="M62">
            <v>-2379.4184350963656</v>
          </cell>
          <cell r="S62">
            <v>-1365.75</v>
          </cell>
        </row>
        <row r="63">
          <cell r="M63">
            <v>21535.218121475329</v>
          </cell>
          <cell r="S63">
            <v>6296.4000000000005</v>
          </cell>
        </row>
        <row r="64">
          <cell r="M64">
            <v>3105.1726114170128</v>
          </cell>
          <cell r="S64">
            <v>739.80000000000007</v>
          </cell>
        </row>
        <row r="65">
          <cell r="M65">
            <v>-9914.2148987866185</v>
          </cell>
          <cell r="S65">
            <v>-6944.4000000000005</v>
          </cell>
        </row>
        <row r="66">
          <cell r="M66">
            <v>3381.8045293498094</v>
          </cell>
          <cell r="S66">
            <v>5440.5</v>
          </cell>
        </row>
        <row r="67">
          <cell r="M67">
            <v>-2708.4619629907634</v>
          </cell>
          <cell r="S67">
            <v>-756.45</v>
          </cell>
        </row>
        <row r="68">
          <cell r="M68">
            <v>-13509.784000925216</v>
          </cell>
          <cell r="S68">
            <v>-18848.7</v>
          </cell>
        </row>
        <row r="69">
          <cell r="M69">
            <v>0</v>
          </cell>
          <cell r="S69">
            <v>0</v>
          </cell>
        </row>
        <row r="70">
          <cell r="M70">
            <v>-9608.6961131163589</v>
          </cell>
          <cell r="S70">
            <v>-8415</v>
          </cell>
        </row>
        <row r="71">
          <cell r="M71">
            <v>-12410.974999368524</v>
          </cell>
          <cell r="S71">
            <v>-6170.4000000000005</v>
          </cell>
        </row>
        <row r="72">
          <cell r="M72">
            <v>-5142.0204675875975</v>
          </cell>
          <cell r="S72">
            <v>-3922.2000000000003</v>
          </cell>
        </row>
        <row r="73">
          <cell r="M73">
            <v>-2995.0170228479201</v>
          </cell>
          <cell r="S73">
            <v>-1305</v>
          </cell>
        </row>
        <row r="74">
          <cell r="M74">
            <v>13947.73694849098</v>
          </cell>
          <cell r="S74">
            <v>7452</v>
          </cell>
        </row>
      </sheetData>
      <sheetData sheetId="3">
        <row r="6">
          <cell r="M6">
            <v>0</v>
          </cell>
          <cell r="S6">
            <v>0</v>
          </cell>
        </row>
        <row r="7">
          <cell r="M7">
            <v>0</v>
          </cell>
          <cell r="S7">
            <v>0</v>
          </cell>
        </row>
        <row r="8">
          <cell r="M8">
            <v>0</v>
          </cell>
          <cell r="S8">
            <v>0</v>
          </cell>
        </row>
        <row r="9">
          <cell r="M9">
            <v>0</v>
          </cell>
          <cell r="S9">
            <v>0</v>
          </cell>
        </row>
        <row r="10">
          <cell r="M10">
            <v>0</v>
          </cell>
          <cell r="S10">
            <v>0</v>
          </cell>
        </row>
        <row r="11">
          <cell r="M11">
            <v>0</v>
          </cell>
          <cell r="S11">
            <v>0</v>
          </cell>
        </row>
        <row r="12">
          <cell r="M12">
            <v>0</v>
          </cell>
          <cell r="S12">
            <v>0</v>
          </cell>
        </row>
        <row r="13">
          <cell r="M13">
            <v>0</v>
          </cell>
          <cell r="S13">
            <v>0</v>
          </cell>
        </row>
        <row r="14">
          <cell r="M14">
            <v>0</v>
          </cell>
          <cell r="S14">
            <v>0</v>
          </cell>
        </row>
        <row r="15">
          <cell r="M15">
            <v>0</v>
          </cell>
          <cell r="S15">
            <v>0</v>
          </cell>
        </row>
        <row r="16">
          <cell r="M16">
            <v>0</v>
          </cell>
          <cell r="S16">
            <v>0</v>
          </cell>
        </row>
        <row r="17">
          <cell r="M17">
            <v>0</v>
          </cell>
          <cell r="S17">
            <v>0</v>
          </cell>
        </row>
        <row r="18">
          <cell r="M18">
            <v>0</v>
          </cell>
          <cell r="S18">
            <v>0</v>
          </cell>
        </row>
        <row r="19">
          <cell r="M19">
            <v>0</v>
          </cell>
          <cell r="S19">
            <v>0</v>
          </cell>
        </row>
        <row r="20">
          <cell r="M20">
            <v>0</v>
          </cell>
          <cell r="S20">
            <v>0</v>
          </cell>
        </row>
        <row r="21">
          <cell r="M21">
            <v>0</v>
          </cell>
          <cell r="S21">
            <v>0</v>
          </cell>
        </row>
        <row r="22">
          <cell r="M22">
            <v>0</v>
          </cell>
          <cell r="S22">
            <v>0</v>
          </cell>
        </row>
        <row r="23">
          <cell r="M23">
            <v>0</v>
          </cell>
          <cell r="S23">
            <v>0</v>
          </cell>
        </row>
        <row r="24">
          <cell r="M24">
            <v>0</v>
          </cell>
          <cell r="S24">
            <v>0</v>
          </cell>
        </row>
        <row r="25">
          <cell r="M25">
            <v>0</v>
          </cell>
          <cell r="S25">
            <v>0</v>
          </cell>
        </row>
        <row r="26">
          <cell r="M26">
            <v>0</v>
          </cell>
          <cell r="S26">
            <v>0</v>
          </cell>
        </row>
        <row r="27">
          <cell r="M27">
            <v>0</v>
          </cell>
          <cell r="S27">
            <v>0</v>
          </cell>
        </row>
        <row r="28">
          <cell r="M28">
            <v>0</v>
          </cell>
          <cell r="S28">
            <v>0</v>
          </cell>
        </row>
        <row r="29">
          <cell r="M29">
            <v>0</v>
          </cell>
          <cell r="S29">
            <v>0</v>
          </cell>
        </row>
        <row r="30">
          <cell r="M30">
            <v>0</v>
          </cell>
          <cell r="S30">
            <v>0</v>
          </cell>
        </row>
        <row r="31">
          <cell r="M31">
            <v>0</v>
          </cell>
          <cell r="S31">
            <v>0</v>
          </cell>
        </row>
        <row r="32">
          <cell r="M32">
            <v>0</v>
          </cell>
          <cell r="S32">
            <v>0</v>
          </cell>
        </row>
        <row r="33">
          <cell r="M33">
            <v>0</v>
          </cell>
          <cell r="S33">
            <v>0</v>
          </cell>
        </row>
        <row r="34">
          <cell r="M34">
            <v>0</v>
          </cell>
          <cell r="S34">
            <v>0</v>
          </cell>
        </row>
        <row r="35">
          <cell r="M35">
            <v>0</v>
          </cell>
          <cell r="S35">
            <v>0</v>
          </cell>
        </row>
        <row r="36">
          <cell r="M36">
            <v>0</v>
          </cell>
          <cell r="S36">
            <v>0</v>
          </cell>
        </row>
        <row r="37">
          <cell r="M37">
            <v>0</v>
          </cell>
          <cell r="S37">
            <v>0</v>
          </cell>
        </row>
        <row r="38">
          <cell r="M38">
            <v>0</v>
          </cell>
          <cell r="S38">
            <v>0</v>
          </cell>
        </row>
        <row r="39">
          <cell r="M39">
            <v>0</v>
          </cell>
          <cell r="S39">
            <v>0</v>
          </cell>
        </row>
        <row r="40">
          <cell r="M40">
            <v>0</v>
          </cell>
          <cell r="S40">
            <v>0</v>
          </cell>
        </row>
        <row r="41">
          <cell r="M41">
            <v>0</v>
          </cell>
          <cell r="S41">
            <v>0</v>
          </cell>
        </row>
        <row r="42">
          <cell r="M42">
            <v>0</v>
          </cell>
          <cell r="S42">
            <v>0</v>
          </cell>
        </row>
        <row r="43">
          <cell r="M43">
            <v>0</v>
          </cell>
          <cell r="S43">
            <v>0</v>
          </cell>
        </row>
        <row r="44">
          <cell r="M44">
            <v>0</v>
          </cell>
          <cell r="S44">
            <v>0</v>
          </cell>
        </row>
        <row r="45">
          <cell r="M45">
            <v>0</v>
          </cell>
          <cell r="S45">
            <v>0</v>
          </cell>
        </row>
        <row r="46">
          <cell r="M46">
            <v>0</v>
          </cell>
          <cell r="S46">
            <v>0</v>
          </cell>
        </row>
        <row r="47">
          <cell r="M47">
            <v>0</v>
          </cell>
          <cell r="S47">
            <v>0</v>
          </cell>
        </row>
        <row r="48">
          <cell r="M48">
            <v>0</v>
          </cell>
          <cell r="S48">
            <v>0</v>
          </cell>
        </row>
        <row r="49">
          <cell r="M49">
            <v>0</v>
          </cell>
          <cell r="S49">
            <v>0</v>
          </cell>
        </row>
        <row r="50">
          <cell r="M50">
            <v>0</v>
          </cell>
          <cell r="S50">
            <v>0</v>
          </cell>
        </row>
        <row r="51">
          <cell r="M51">
            <v>0</v>
          </cell>
          <cell r="S51">
            <v>0</v>
          </cell>
        </row>
        <row r="52">
          <cell r="M52">
            <v>0</v>
          </cell>
          <cell r="S52">
            <v>0</v>
          </cell>
        </row>
        <row r="53">
          <cell r="M53">
            <v>0</v>
          </cell>
          <cell r="S53">
            <v>0</v>
          </cell>
        </row>
        <row r="54">
          <cell r="M54">
            <v>0</v>
          </cell>
          <cell r="S54">
            <v>0</v>
          </cell>
        </row>
        <row r="55">
          <cell r="M55">
            <v>0</v>
          </cell>
          <cell r="S55">
            <v>0</v>
          </cell>
        </row>
        <row r="56">
          <cell r="M56">
            <v>0</v>
          </cell>
          <cell r="S56">
            <v>0</v>
          </cell>
        </row>
        <row r="57">
          <cell r="M57">
            <v>0</v>
          </cell>
          <cell r="S57">
            <v>0</v>
          </cell>
        </row>
        <row r="58">
          <cell r="M58">
            <v>0</v>
          </cell>
          <cell r="S58">
            <v>0</v>
          </cell>
        </row>
        <row r="59">
          <cell r="M59">
            <v>0</v>
          </cell>
          <cell r="S59">
            <v>0</v>
          </cell>
        </row>
        <row r="60">
          <cell r="M60">
            <v>0</v>
          </cell>
          <cell r="S60">
            <v>0</v>
          </cell>
        </row>
        <row r="61">
          <cell r="M61">
            <v>0</v>
          </cell>
          <cell r="S61">
            <v>0</v>
          </cell>
        </row>
        <row r="62">
          <cell r="M62">
            <v>0</v>
          </cell>
          <cell r="S62">
            <v>0</v>
          </cell>
        </row>
        <row r="63">
          <cell r="M63">
            <v>0</v>
          </cell>
          <cell r="S63">
            <v>0</v>
          </cell>
        </row>
        <row r="64">
          <cell r="M64">
            <v>0</v>
          </cell>
          <cell r="S64">
            <v>0</v>
          </cell>
        </row>
        <row r="65">
          <cell r="M65">
            <v>0</v>
          </cell>
          <cell r="S65">
            <v>0</v>
          </cell>
        </row>
        <row r="66">
          <cell r="M66">
            <v>0</v>
          </cell>
          <cell r="S66">
            <v>0</v>
          </cell>
        </row>
        <row r="67">
          <cell r="M67">
            <v>0</v>
          </cell>
          <cell r="S67">
            <v>0</v>
          </cell>
        </row>
        <row r="68">
          <cell r="M68">
            <v>0</v>
          </cell>
          <cell r="S68">
            <v>0</v>
          </cell>
        </row>
        <row r="69">
          <cell r="M69">
            <v>0</v>
          </cell>
          <cell r="S69">
            <v>0</v>
          </cell>
        </row>
        <row r="70">
          <cell r="M70">
            <v>0</v>
          </cell>
          <cell r="S70">
            <v>0</v>
          </cell>
        </row>
        <row r="71">
          <cell r="M71">
            <v>0</v>
          </cell>
          <cell r="S71">
            <v>0</v>
          </cell>
        </row>
        <row r="72">
          <cell r="M72">
            <v>0</v>
          </cell>
          <cell r="S72">
            <v>0</v>
          </cell>
        </row>
        <row r="73">
          <cell r="M73">
            <v>0</v>
          </cell>
          <cell r="S73">
            <v>0</v>
          </cell>
        </row>
        <row r="74">
          <cell r="M74">
            <v>0</v>
          </cell>
          <cell r="S74">
            <v>0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ed Amounts"/>
    </sheetNames>
    <sheetDataSet>
      <sheetData sheetId="0" refreshError="1">
        <row r="7">
          <cell r="H7">
            <v>0</v>
          </cell>
        </row>
        <row r="8">
          <cell r="H8">
            <v>-10424.079088565875</v>
          </cell>
        </row>
        <row r="9">
          <cell r="H9">
            <v>0</v>
          </cell>
        </row>
        <row r="10">
          <cell r="H10">
            <v>26832.697836016825</v>
          </cell>
        </row>
        <row r="11">
          <cell r="H11">
            <v>-15433.970269679656</v>
          </cell>
        </row>
        <row r="12">
          <cell r="H12">
            <v>-559520.47628364025</v>
          </cell>
        </row>
        <row r="13">
          <cell r="H13">
            <v>231.94927088567511</v>
          </cell>
        </row>
        <row r="14">
          <cell r="H14">
            <v>278.403015368458</v>
          </cell>
        </row>
        <row r="15">
          <cell r="H15">
            <v>-271285.20897772937</v>
          </cell>
        </row>
        <row r="16">
          <cell r="H16">
            <v>-69465.223290625945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-2080.2769246181197</v>
          </cell>
        </row>
        <row r="20">
          <cell r="H20">
            <v>1294.3388056557724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-130002.43251403188</v>
          </cell>
        </row>
        <row r="24">
          <cell r="H24">
            <v>8237.5986609904867</v>
          </cell>
        </row>
        <row r="25">
          <cell r="H25">
            <v>-14679.077750957269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-577422.02464747627</v>
          </cell>
        </row>
        <row r="33">
          <cell r="H33">
            <v>0</v>
          </cell>
        </row>
        <row r="34">
          <cell r="H34">
            <v>-102711.67592119289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-5016.8919954006033</v>
          </cell>
        </row>
        <row r="38">
          <cell r="H38">
            <v>0</v>
          </cell>
        </row>
        <row r="39">
          <cell r="H39">
            <v>-31461.550738993945</v>
          </cell>
        </row>
        <row r="40">
          <cell r="H40">
            <v>1196.099079508449</v>
          </cell>
        </row>
        <row r="41">
          <cell r="H41">
            <v>1367.8040450900012</v>
          </cell>
        </row>
        <row r="42">
          <cell r="H42">
            <v>-6279.6590136872237</v>
          </cell>
        </row>
        <row r="43">
          <cell r="H43">
            <v>-121804.72470372164</v>
          </cell>
        </row>
        <row r="44">
          <cell r="H44">
            <v>-54853.560227771537</v>
          </cell>
        </row>
        <row r="45">
          <cell r="H45">
            <v>0</v>
          </cell>
        </row>
        <row r="46">
          <cell r="H46">
            <v>-84977.022217588383</v>
          </cell>
        </row>
        <row r="47">
          <cell r="H47">
            <v>0</v>
          </cell>
        </row>
        <row r="48">
          <cell r="H48">
            <v>-13872.030784933289</v>
          </cell>
        </row>
        <row r="49">
          <cell r="H49">
            <v>0</v>
          </cell>
        </row>
        <row r="50">
          <cell r="H50">
            <v>-4786.1910925032571</v>
          </cell>
        </row>
        <row r="51">
          <cell r="H51">
            <v>0</v>
          </cell>
        </row>
        <row r="52">
          <cell r="H52">
            <v>-74734.707051841833</v>
          </cell>
        </row>
        <row r="53">
          <cell r="H53">
            <v>-1082.6890644338462</v>
          </cell>
        </row>
        <row r="54">
          <cell r="H54">
            <v>-8522.8441841659442</v>
          </cell>
        </row>
        <row r="55">
          <cell r="H55">
            <v>77514.951193095912</v>
          </cell>
        </row>
        <row r="56">
          <cell r="H56">
            <v>3997.1285109119672</v>
          </cell>
        </row>
        <row r="57">
          <cell r="H57">
            <v>2736.5598630378809</v>
          </cell>
        </row>
        <row r="58">
          <cell r="H58">
            <v>-149518.07778132393</v>
          </cell>
        </row>
        <row r="59">
          <cell r="H59">
            <v>535.09967560998848</v>
          </cell>
        </row>
        <row r="60">
          <cell r="H60">
            <v>0</v>
          </cell>
        </row>
        <row r="61">
          <cell r="H61">
            <v>-19024.122282890603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-8216.5165012490943</v>
          </cell>
        </row>
        <row r="65">
          <cell r="H65">
            <v>0</v>
          </cell>
        </row>
        <row r="66">
          <cell r="H66">
            <v>-4544.1652770033907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-3573.7704120406524</v>
          </cell>
        </row>
        <row r="71">
          <cell r="H71">
            <v>0</v>
          </cell>
        </row>
        <row r="72">
          <cell r="H72">
            <v>-5196.0756379680797</v>
          </cell>
        </row>
        <row r="73">
          <cell r="H73">
            <v>0</v>
          </cell>
        </row>
        <row r="74">
          <cell r="H74">
            <v>45117.573358364345</v>
          </cell>
        </row>
        <row r="75">
          <cell r="H75">
            <v>351</v>
          </cell>
        </row>
        <row r="79">
          <cell r="I79">
            <v>2515.1664215795245</v>
          </cell>
        </row>
        <row r="92">
          <cell r="I92">
            <v>-4508.0545995861094</v>
          </cell>
        </row>
        <row r="149">
          <cell r="I149">
            <v>-322157.92574859853</v>
          </cell>
        </row>
        <row r="162">
          <cell r="I162">
            <v>0</v>
          </cell>
        </row>
        <row r="163">
          <cell r="I163">
            <v>-14065.621132128788</v>
          </cell>
        </row>
        <row r="164">
          <cell r="I164">
            <v>-14946.984579716975</v>
          </cell>
        </row>
        <row r="165">
          <cell r="I165">
            <v>-9433.2933428891047</v>
          </cell>
        </row>
        <row r="166">
          <cell r="I166">
            <v>0</v>
          </cell>
        </row>
        <row r="167">
          <cell r="I167">
            <v>0</v>
          </cell>
        </row>
        <row r="168">
          <cell r="I168">
            <v>-113097.28260242619</v>
          </cell>
        </row>
        <row r="169">
          <cell r="I169">
            <v>-31062.573315865986</v>
          </cell>
        </row>
        <row r="170">
          <cell r="I170">
            <v>0</v>
          </cell>
        </row>
        <row r="171">
          <cell r="I171">
            <v>-1055.7168538204842</v>
          </cell>
        </row>
        <row r="172">
          <cell r="I172">
            <v>0</v>
          </cell>
        </row>
        <row r="174">
          <cell r="I174">
            <v>2908.2904948400173</v>
          </cell>
        </row>
        <row r="175">
          <cell r="I175">
            <v>-1517.3749542244705</v>
          </cell>
        </row>
        <row r="176">
          <cell r="I176">
            <v>0</v>
          </cell>
        </row>
        <row r="177">
          <cell r="I177">
            <v>210.84242529510993</v>
          </cell>
        </row>
        <row r="178">
          <cell r="I178">
            <v>-4198.5679285379201</v>
          </cell>
        </row>
        <row r="180">
          <cell r="I180">
            <v>0</v>
          </cell>
        </row>
        <row r="185">
          <cell r="I185">
            <v>0</v>
          </cell>
        </row>
        <row r="186">
          <cell r="I186">
            <v>-24145.178855639864</v>
          </cell>
        </row>
        <row r="190">
          <cell r="I190">
            <v>-13786.843486509482</v>
          </cell>
        </row>
        <row r="191">
          <cell r="I191">
            <v>-3516.4052830321971</v>
          </cell>
        </row>
        <row r="193">
          <cell r="I193">
            <v>3960.2403711526622</v>
          </cell>
        </row>
        <row r="195">
          <cell r="I195">
            <v>0</v>
          </cell>
        </row>
        <row r="197">
          <cell r="I197">
            <v>-13026.842935677982</v>
          </cell>
        </row>
        <row r="198">
          <cell r="I198">
            <v>2014.4652695225413</v>
          </cell>
        </row>
        <row r="199">
          <cell r="I199">
            <v>1947.4588755535794</v>
          </cell>
        </row>
        <row r="200">
          <cell r="I200">
            <v>0</v>
          </cell>
        </row>
        <row r="201">
          <cell r="I201">
            <v>-19208.648799330509</v>
          </cell>
        </row>
        <row r="202">
          <cell r="I202">
            <v>-3892.7998885716588</v>
          </cell>
        </row>
        <row r="203">
          <cell r="I203">
            <v>-38409.203719952857</v>
          </cell>
        </row>
        <row r="204">
          <cell r="I204">
            <v>-24019.310514481713</v>
          </cell>
        </row>
        <row r="205">
          <cell r="I205">
            <v>-103721.21890892257</v>
          </cell>
        </row>
        <row r="206">
          <cell r="I206">
            <v>-17927.028628168486</v>
          </cell>
        </row>
        <row r="207">
          <cell r="I207">
            <v>0</v>
          </cell>
        </row>
        <row r="208">
          <cell r="I208">
            <v>-8439.5432957393314</v>
          </cell>
        </row>
        <row r="209">
          <cell r="I209">
            <v>5965.2293969065395</v>
          </cell>
        </row>
        <row r="210">
          <cell r="I210">
            <v>-1265.9733586273378</v>
          </cell>
        </row>
        <row r="211">
          <cell r="I211">
            <v>0</v>
          </cell>
        </row>
        <row r="212">
          <cell r="I212">
            <v>430.97853243066493</v>
          </cell>
        </row>
        <row r="213">
          <cell r="I213">
            <v>3998.0606576154573</v>
          </cell>
        </row>
        <row r="214">
          <cell r="I214">
            <v>-3516.4052830321971</v>
          </cell>
        </row>
        <row r="215">
          <cell r="I215">
            <v>-15666.0156532652</v>
          </cell>
        </row>
        <row r="216">
          <cell r="I216">
            <v>-1360.5831120636303</v>
          </cell>
        </row>
        <row r="217">
          <cell r="I217">
            <v>-3516.4052830321971</v>
          </cell>
        </row>
        <row r="218">
          <cell r="I218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Prelim Summary - 20130603"/>
      <sheetName val="2012 Prelim Detail - 20130603"/>
    </sheetNames>
    <sheetDataSet>
      <sheetData sheetId="0">
        <row r="9">
          <cell r="E9">
            <v>2.2197360000000002</v>
          </cell>
        </row>
        <row r="11">
          <cell r="E11">
            <v>1.3320000000000001</v>
          </cell>
        </row>
        <row r="13">
          <cell r="E13">
            <v>2.502402</v>
          </cell>
        </row>
        <row r="14">
          <cell r="E14">
            <v>2.170404</v>
          </cell>
        </row>
        <row r="15">
          <cell r="E15">
            <v>0.28415299999999999</v>
          </cell>
        </row>
        <row r="16">
          <cell r="E16">
            <v>5.9114969999999998</v>
          </cell>
        </row>
        <row r="17">
          <cell r="E17">
            <v>29.116192999999999</v>
          </cell>
        </row>
        <row r="18">
          <cell r="E18">
            <v>11.446312000000001</v>
          </cell>
        </row>
        <row r="22">
          <cell r="E22">
            <v>0.84399999999999997</v>
          </cell>
        </row>
        <row r="23">
          <cell r="E23">
            <v>0.65200000000000002</v>
          </cell>
        </row>
        <row r="24">
          <cell r="E24">
            <v>1.31352</v>
          </cell>
        </row>
        <row r="25">
          <cell r="E25">
            <v>31.841778000000001</v>
          </cell>
        </row>
        <row r="26">
          <cell r="E26">
            <v>4.9180000000000001E-2</v>
          </cell>
        </row>
        <row r="27">
          <cell r="E27">
            <v>0.60109299999999999</v>
          </cell>
        </row>
        <row r="28">
          <cell r="E28">
            <v>7.4883509999999998</v>
          </cell>
        </row>
        <row r="29">
          <cell r="E29">
            <v>2.721311</v>
          </cell>
        </row>
        <row r="30">
          <cell r="E30">
            <v>0.44</v>
          </cell>
        </row>
        <row r="31">
          <cell r="E31">
            <v>5.0106029999999997</v>
          </cell>
        </row>
        <row r="32">
          <cell r="E32">
            <v>1.1524049999999999</v>
          </cell>
        </row>
        <row r="33">
          <cell r="E33">
            <v>0.91600000000000004</v>
          </cell>
        </row>
        <row r="34">
          <cell r="E34">
            <v>23.023351000000002</v>
          </cell>
        </row>
        <row r="35">
          <cell r="E35">
            <v>2.2999999999999998</v>
          </cell>
        </row>
        <row r="36">
          <cell r="E36">
            <v>7.3525049999999998</v>
          </cell>
        </row>
        <row r="37">
          <cell r="E37">
            <v>9.5700719999999997</v>
          </cell>
        </row>
        <row r="39">
          <cell r="E39">
            <v>1.4279999999999999</v>
          </cell>
        </row>
        <row r="40">
          <cell r="E40">
            <v>1.694374</v>
          </cell>
        </row>
        <row r="41">
          <cell r="E41">
            <v>2.5223610000000001</v>
          </cell>
        </row>
        <row r="42">
          <cell r="E42">
            <v>0.74686300000000005</v>
          </cell>
        </row>
        <row r="43">
          <cell r="E43">
            <v>2.9359999999999999</v>
          </cell>
        </row>
        <row r="44">
          <cell r="E44">
            <v>29.713156999999999</v>
          </cell>
        </row>
        <row r="45">
          <cell r="E45">
            <v>5.0968410000000004</v>
          </cell>
        </row>
        <row r="46">
          <cell r="E46">
            <v>0.55600000000000005</v>
          </cell>
        </row>
        <row r="47">
          <cell r="E47">
            <v>2.7974950000000001</v>
          </cell>
        </row>
        <row r="48">
          <cell r="E48">
            <v>6.6463570000000001</v>
          </cell>
        </row>
        <row r="50">
          <cell r="E50">
            <v>0.64480800000000005</v>
          </cell>
        </row>
        <row r="51">
          <cell r="E51">
            <v>2.2896169999999998</v>
          </cell>
        </row>
        <row r="52">
          <cell r="E52">
            <v>0.13114799999999999</v>
          </cell>
        </row>
        <row r="53">
          <cell r="E53">
            <v>2.1644049999999999</v>
          </cell>
        </row>
        <row r="56">
          <cell r="E56">
            <v>0.94505499999999998</v>
          </cell>
        </row>
        <row r="57">
          <cell r="E57">
            <v>6.9693930000000002</v>
          </cell>
        </row>
        <row r="58">
          <cell r="E58">
            <v>3.7639999999999998</v>
          </cell>
        </row>
        <row r="59">
          <cell r="E59">
            <v>2.7719999999999998</v>
          </cell>
        </row>
        <row r="60">
          <cell r="E60">
            <v>12.185319</v>
          </cell>
        </row>
        <row r="61">
          <cell r="E61">
            <v>7.5498589999999997</v>
          </cell>
        </row>
        <row r="62">
          <cell r="E62">
            <v>2.5245899999999999</v>
          </cell>
        </row>
        <row r="63">
          <cell r="E63">
            <v>12.250491999999999</v>
          </cell>
        </row>
        <row r="65">
          <cell r="E65">
            <v>2.4618609999999999</v>
          </cell>
        </row>
        <row r="66">
          <cell r="E66">
            <v>0.65200000000000002</v>
          </cell>
        </row>
        <row r="67">
          <cell r="E67">
            <v>3.2474289999999999</v>
          </cell>
        </row>
        <row r="68">
          <cell r="E68">
            <v>3.8333550000000001</v>
          </cell>
        </row>
        <row r="69">
          <cell r="E69">
            <v>2.5710769999999998</v>
          </cell>
        </row>
        <row r="70">
          <cell r="E70">
            <v>8.1966999999999998E-2</v>
          </cell>
        </row>
        <row r="72">
          <cell r="E72">
            <v>0.53200000000000003</v>
          </cell>
        </row>
        <row r="73">
          <cell r="E73">
            <v>0.9</v>
          </cell>
        </row>
        <row r="74">
          <cell r="E74">
            <v>0.71599999999999997</v>
          </cell>
        </row>
      </sheetData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 midyear adj"/>
      <sheetName val="Oct midyear adj_LA virtual"/>
      <sheetName val="Oct midyear adj_Connections"/>
      <sheetName val="Oct midyear adj_OJJ"/>
    </sheetNames>
    <sheetDataSet>
      <sheetData sheetId="0" refreshError="1"/>
      <sheetData sheetId="1">
        <row r="6">
          <cell r="M6">
            <v>-4909.0320000000065</v>
          </cell>
        </row>
      </sheetData>
      <sheetData sheetId="2" refreshError="1"/>
      <sheetData sheetId="3">
        <row r="6">
          <cell r="I6">
            <v>0</v>
          </cell>
          <cell r="K6">
            <v>0</v>
          </cell>
        </row>
        <row r="7">
          <cell r="I7">
            <v>0</v>
          </cell>
          <cell r="K7">
            <v>0</v>
          </cell>
        </row>
        <row r="8">
          <cell r="I8">
            <v>0</v>
          </cell>
          <cell r="K8">
            <v>0</v>
          </cell>
        </row>
        <row r="9">
          <cell r="I9">
            <v>0</v>
          </cell>
          <cell r="K9">
            <v>0</v>
          </cell>
        </row>
        <row r="10">
          <cell r="I10">
            <v>0</v>
          </cell>
          <cell r="K10">
            <v>0</v>
          </cell>
        </row>
        <row r="11">
          <cell r="I11">
            <v>0</v>
          </cell>
          <cell r="K11">
            <v>0</v>
          </cell>
        </row>
        <row r="12">
          <cell r="I12">
            <v>0</v>
          </cell>
          <cell r="K12">
            <v>0</v>
          </cell>
        </row>
        <row r="13">
          <cell r="I13">
            <v>0</v>
          </cell>
          <cell r="K13">
            <v>0</v>
          </cell>
        </row>
        <row r="16">
          <cell r="I16">
            <v>0</v>
          </cell>
          <cell r="K16">
            <v>0</v>
          </cell>
        </row>
        <row r="17">
          <cell r="I17">
            <v>0</v>
          </cell>
          <cell r="K17">
            <v>0</v>
          </cell>
        </row>
        <row r="18">
          <cell r="I18">
            <v>0</v>
          </cell>
          <cell r="K18">
            <v>0</v>
          </cell>
        </row>
        <row r="19">
          <cell r="I19">
            <v>0</v>
          </cell>
          <cell r="K19">
            <v>0</v>
          </cell>
        </row>
        <row r="20">
          <cell r="I20">
            <v>0</v>
          </cell>
          <cell r="K20">
            <v>0</v>
          </cell>
        </row>
        <row r="21">
          <cell r="I21">
            <v>0</v>
          </cell>
          <cell r="K21">
            <v>0</v>
          </cell>
        </row>
        <row r="23">
          <cell r="I23">
            <v>0</v>
          </cell>
          <cell r="K23">
            <v>0</v>
          </cell>
        </row>
        <row r="24">
          <cell r="I24">
            <v>0</v>
          </cell>
          <cell r="K24">
            <v>0</v>
          </cell>
        </row>
        <row r="26">
          <cell r="I26">
            <v>0</v>
          </cell>
          <cell r="K26">
            <v>0</v>
          </cell>
        </row>
        <row r="27">
          <cell r="I27">
            <v>0</v>
          </cell>
          <cell r="K27">
            <v>0</v>
          </cell>
        </row>
        <row r="29">
          <cell r="I29">
            <v>0</v>
          </cell>
          <cell r="K29">
            <v>0</v>
          </cell>
        </row>
        <row r="30">
          <cell r="I30">
            <v>0</v>
          </cell>
          <cell r="K30">
            <v>0</v>
          </cell>
        </row>
        <row r="32">
          <cell r="I32">
            <v>0</v>
          </cell>
          <cell r="K32">
            <v>0</v>
          </cell>
        </row>
        <row r="33">
          <cell r="I33">
            <v>0</v>
          </cell>
          <cell r="K33">
            <v>0</v>
          </cell>
        </row>
        <row r="35">
          <cell r="I35">
            <v>0</v>
          </cell>
          <cell r="K35">
            <v>0</v>
          </cell>
        </row>
        <row r="37">
          <cell r="I37">
            <v>0</v>
          </cell>
          <cell r="K37">
            <v>0</v>
          </cell>
        </row>
        <row r="38">
          <cell r="I38">
            <v>0</v>
          </cell>
          <cell r="K38">
            <v>0</v>
          </cell>
        </row>
        <row r="39">
          <cell r="I39">
            <v>0</v>
          </cell>
          <cell r="K39">
            <v>0</v>
          </cell>
        </row>
        <row r="40">
          <cell r="I40">
            <v>0</v>
          </cell>
          <cell r="K40">
            <v>0</v>
          </cell>
        </row>
        <row r="43">
          <cell r="I43">
            <v>0</v>
          </cell>
          <cell r="K43">
            <v>0</v>
          </cell>
        </row>
        <row r="44">
          <cell r="I44">
            <v>0</v>
          </cell>
          <cell r="K44">
            <v>0</v>
          </cell>
        </row>
        <row r="46">
          <cell r="I46">
            <v>0</v>
          </cell>
          <cell r="K46">
            <v>0</v>
          </cell>
        </row>
        <row r="47">
          <cell r="I47">
            <v>0</v>
          </cell>
          <cell r="K47">
            <v>0</v>
          </cell>
        </row>
        <row r="48">
          <cell r="I48">
            <v>0</v>
          </cell>
          <cell r="K48">
            <v>0</v>
          </cell>
        </row>
        <row r="49">
          <cell r="I49">
            <v>0</v>
          </cell>
          <cell r="K49">
            <v>0</v>
          </cell>
        </row>
        <row r="50">
          <cell r="I50">
            <v>0</v>
          </cell>
          <cell r="K50">
            <v>0</v>
          </cell>
        </row>
        <row r="51">
          <cell r="I51">
            <v>0</v>
          </cell>
          <cell r="K51">
            <v>0</v>
          </cell>
        </row>
        <row r="52">
          <cell r="I52">
            <v>0</v>
          </cell>
          <cell r="K52">
            <v>0</v>
          </cell>
        </row>
        <row r="53">
          <cell r="I53">
            <v>0</v>
          </cell>
          <cell r="K53">
            <v>0</v>
          </cell>
        </row>
        <row r="55">
          <cell r="I55">
            <v>0</v>
          </cell>
          <cell r="K55">
            <v>0</v>
          </cell>
        </row>
        <row r="56">
          <cell r="I56">
            <v>0</v>
          </cell>
          <cell r="K56">
            <v>0</v>
          </cell>
        </row>
        <row r="57">
          <cell r="I57">
            <v>0</v>
          </cell>
          <cell r="K57">
            <v>0</v>
          </cell>
        </row>
        <row r="58">
          <cell r="I58">
            <v>0</v>
          </cell>
          <cell r="K58">
            <v>0</v>
          </cell>
        </row>
        <row r="59">
          <cell r="I59">
            <v>0</v>
          </cell>
          <cell r="K59">
            <v>0</v>
          </cell>
        </row>
        <row r="61">
          <cell r="I61">
            <v>0</v>
          </cell>
          <cell r="K61">
            <v>0</v>
          </cell>
        </row>
        <row r="62">
          <cell r="I62">
            <v>0</v>
          </cell>
          <cell r="K62">
            <v>0</v>
          </cell>
        </row>
        <row r="63">
          <cell r="I63">
            <v>0</v>
          </cell>
          <cell r="K63">
            <v>0</v>
          </cell>
        </row>
        <row r="64">
          <cell r="I64">
            <v>0</v>
          </cell>
          <cell r="K64">
            <v>0</v>
          </cell>
        </row>
        <row r="65">
          <cell r="I65">
            <v>0</v>
          </cell>
          <cell r="K65">
            <v>0</v>
          </cell>
        </row>
        <row r="66">
          <cell r="I66">
            <v>0</v>
          </cell>
          <cell r="K66">
            <v>0</v>
          </cell>
        </row>
        <row r="67">
          <cell r="I67">
            <v>0</v>
          </cell>
          <cell r="K67">
            <v>0</v>
          </cell>
        </row>
        <row r="68">
          <cell r="I68">
            <v>0</v>
          </cell>
          <cell r="K68">
            <v>0</v>
          </cell>
        </row>
        <row r="69">
          <cell r="I69">
            <v>0</v>
          </cell>
          <cell r="K69">
            <v>0</v>
          </cell>
        </row>
        <row r="70">
          <cell r="I70">
            <v>0</v>
          </cell>
          <cell r="K70">
            <v>0</v>
          </cell>
        </row>
        <row r="72">
          <cell r="I72">
            <v>0</v>
          </cell>
          <cell r="K72">
            <v>0</v>
          </cell>
        </row>
        <row r="73">
          <cell r="I73">
            <v>0</v>
          </cell>
          <cell r="K73">
            <v>0</v>
          </cell>
        </row>
        <row r="74">
          <cell r="I74">
            <v>0</v>
          </cell>
          <cell r="K74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cholarship Only_byLEA"/>
      <sheetName val="Sheet1"/>
    </sheetNames>
    <sheetDataSet>
      <sheetData sheetId="0">
        <row r="16">
          <cell r="F16">
            <v>3</v>
          </cell>
        </row>
        <row r="18">
          <cell r="F18">
            <v>63</v>
          </cell>
        </row>
        <row r="19">
          <cell r="F19">
            <v>10</v>
          </cell>
        </row>
        <row r="22">
          <cell r="F22">
            <v>7</v>
          </cell>
        </row>
        <row r="23">
          <cell r="F23">
            <v>2</v>
          </cell>
        </row>
        <row r="24">
          <cell r="F24">
            <v>81</v>
          </cell>
        </row>
        <row r="25">
          <cell r="F25">
            <v>22</v>
          </cell>
        </row>
        <row r="26">
          <cell r="F26">
            <v>12</v>
          </cell>
        </row>
        <row r="32">
          <cell r="F32">
            <v>628</v>
          </cell>
        </row>
        <row r="36">
          <cell r="F36">
            <v>39</v>
          </cell>
        </row>
        <row r="37">
          <cell r="F37">
            <v>1</v>
          </cell>
        </row>
        <row r="38">
          <cell r="F38">
            <v>1</v>
          </cell>
        </row>
        <row r="39">
          <cell r="F39">
            <v>28</v>
          </cell>
        </row>
        <row r="40">
          <cell r="F40">
            <v>7</v>
          </cell>
        </row>
        <row r="41">
          <cell r="F41">
            <v>406</v>
          </cell>
        </row>
        <row r="43">
          <cell r="F43">
            <v>136</v>
          </cell>
        </row>
        <row r="44">
          <cell r="F44">
            <v>40</v>
          </cell>
        </row>
        <row r="46">
          <cell r="F46">
            <v>75</v>
          </cell>
        </row>
        <row r="47">
          <cell r="F47">
            <v>1</v>
          </cell>
        </row>
        <row r="49">
          <cell r="F49">
            <v>4</v>
          </cell>
        </row>
        <row r="50">
          <cell r="F50">
            <v>2</v>
          </cell>
        </row>
        <row r="51">
          <cell r="F51">
            <v>2388</v>
          </cell>
        </row>
        <row r="52">
          <cell r="F52">
            <v>44</v>
          </cell>
        </row>
        <row r="53">
          <cell r="F53">
            <v>1</v>
          </cell>
        </row>
        <row r="54">
          <cell r="F54">
            <v>29</v>
          </cell>
        </row>
        <row r="55">
          <cell r="F55">
            <v>74</v>
          </cell>
        </row>
        <row r="57">
          <cell r="F57">
            <v>6</v>
          </cell>
        </row>
        <row r="59">
          <cell r="F59">
            <v>19</v>
          </cell>
        </row>
        <row r="60">
          <cell r="F60">
            <v>20</v>
          </cell>
        </row>
        <row r="62">
          <cell r="F62">
            <v>6</v>
          </cell>
        </row>
        <row r="63">
          <cell r="F63">
            <v>206</v>
          </cell>
        </row>
        <row r="64">
          <cell r="F64">
            <v>63</v>
          </cell>
        </row>
        <row r="65">
          <cell r="F65">
            <v>25</v>
          </cell>
        </row>
        <row r="66">
          <cell r="F66">
            <v>4</v>
          </cell>
        </row>
        <row r="67">
          <cell r="F67">
            <v>41</v>
          </cell>
        </row>
        <row r="68">
          <cell r="F68">
            <v>49</v>
          </cell>
        </row>
        <row r="70">
          <cell r="F70">
            <v>20</v>
          </cell>
        </row>
        <row r="71">
          <cell r="F71">
            <v>13</v>
          </cell>
        </row>
        <row r="72">
          <cell r="F72">
            <v>8</v>
          </cell>
        </row>
        <row r="74">
          <cell r="F74">
            <v>2</v>
          </cell>
        </row>
        <row r="76">
          <cell r="F76">
            <v>12</v>
          </cell>
        </row>
        <row r="80">
          <cell r="F80">
            <v>37</v>
          </cell>
        </row>
        <row r="81">
          <cell r="F81">
            <v>9</v>
          </cell>
        </row>
        <row r="83">
          <cell r="F83">
            <v>35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1-13-Supreme Court Ruling"/>
      <sheetName val="All-Reformatted"/>
      <sheetName val="ALL"/>
      <sheetName val="SSD"/>
      <sheetName val="LSDVI"/>
      <sheetName val="OJJ"/>
      <sheetName val="Raw Data"/>
    </sheetNames>
    <sheetDataSet>
      <sheetData sheetId="0">
        <row r="6">
          <cell r="AE6">
            <v>6654</v>
          </cell>
        </row>
        <row r="7">
          <cell r="AE7">
            <v>2659</v>
          </cell>
        </row>
        <row r="8">
          <cell r="AE8">
            <v>9983</v>
          </cell>
        </row>
        <row r="9">
          <cell r="AE9">
            <v>2382</v>
          </cell>
        </row>
        <row r="10">
          <cell r="AE10">
            <v>4845</v>
          </cell>
        </row>
        <row r="11">
          <cell r="AE11">
            <v>3285</v>
          </cell>
        </row>
        <row r="12">
          <cell r="AE12">
            <v>1551</v>
          </cell>
        </row>
        <row r="13">
          <cell r="AE13">
            <v>9893</v>
          </cell>
        </row>
        <row r="14">
          <cell r="AE14">
            <v>27222</v>
          </cell>
        </row>
        <row r="15">
          <cell r="AE15">
            <v>18965</v>
          </cell>
        </row>
        <row r="16">
          <cell r="AE16">
            <v>1038</v>
          </cell>
        </row>
        <row r="17">
          <cell r="AE17">
            <v>559</v>
          </cell>
        </row>
        <row r="18">
          <cell r="AE18">
            <v>1160</v>
          </cell>
        </row>
        <row r="19">
          <cell r="AE19">
            <v>1492</v>
          </cell>
        </row>
        <row r="20">
          <cell r="AE20">
            <v>2783</v>
          </cell>
        </row>
        <row r="21">
          <cell r="AE21">
            <v>3183</v>
          </cell>
        </row>
        <row r="22">
          <cell r="AE22">
            <v>36413</v>
          </cell>
        </row>
        <row r="23">
          <cell r="AE23">
            <v>1039</v>
          </cell>
        </row>
        <row r="24">
          <cell r="AE24">
            <v>1594</v>
          </cell>
        </row>
        <row r="25">
          <cell r="AE25">
            <v>4512</v>
          </cell>
        </row>
        <row r="26">
          <cell r="AE26">
            <v>2473</v>
          </cell>
        </row>
        <row r="27">
          <cell r="AE27">
            <v>2119</v>
          </cell>
        </row>
        <row r="28">
          <cell r="AE28">
            <v>9534</v>
          </cell>
        </row>
        <row r="29">
          <cell r="AE29">
            <v>3734</v>
          </cell>
        </row>
        <row r="30">
          <cell r="AE30">
            <v>1403</v>
          </cell>
        </row>
        <row r="31">
          <cell r="AE31">
            <v>34549</v>
          </cell>
        </row>
        <row r="32">
          <cell r="AE32">
            <v>3354</v>
          </cell>
        </row>
        <row r="33">
          <cell r="AE33">
            <v>18378</v>
          </cell>
        </row>
        <row r="34">
          <cell r="AE34">
            <v>8281</v>
          </cell>
        </row>
        <row r="35">
          <cell r="AE35">
            <v>1351</v>
          </cell>
        </row>
        <row r="36">
          <cell r="AE36">
            <v>3895</v>
          </cell>
        </row>
        <row r="37">
          <cell r="AE37">
            <v>12760</v>
          </cell>
        </row>
        <row r="38">
          <cell r="AE38">
            <v>1634</v>
          </cell>
        </row>
        <row r="39">
          <cell r="AE39">
            <v>3643</v>
          </cell>
        </row>
        <row r="40">
          <cell r="AE40">
            <v>4857</v>
          </cell>
        </row>
        <row r="41">
          <cell r="AE41">
            <v>34713</v>
          </cell>
        </row>
        <row r="42">
          <cell r="AE42">
            <v>11606</v>
          </cell>
        </row>
        <row r="43">
          <cell r="AE43">
            <v>2392</v>
          </cell>
        </row>
        <row r="44">
          <cell r="AE44">
            <v>2417</v>
          </cell>
        </row>
        <row r="45">
          <cell r="AE45">
            <v>15920</v>
          </cell>
        </row>
        <row r="46">
          <cell r="AE46">
            <v>1224</v>
          </cell>
        </row>
        <row r="47">
          <cell r="AE47">
            <v>2897</v>
          </cell>
        </row>
        <row r="48">
          <cell r="AE48">
            <v>2750</v>
          </cell>
        </row>
        <row r="49">
          <cell r="AE49">
            <v>4886</v>
          </cell>
        </row>
        <row r="50">
          <cell r="AE50">
            <v>5015</v>
          </cell>
        </row>
        <row r="51">
          <cell r="AE51">
            <v>992</v>
          </cell>
        </row>
        <row r="52">
          <cell r="AE52">
            <v>2579</v>
          </cell>
        </row>
        <row r="53">
          <cell r="AE53">
            <v>5728</v>
          </cell>
        </row>
        <row r="54">
          <cell r="AE54">
            <v>11589</v>
          </cell>
        </row>
        <row r="55">
          <cell r="AE55">
            <v>5998</v>
          </cell>
        </row>
        <row r="56">
          <cell r="AE56">
            <v>6563</v>
          </cell>
        </row>
        <row r="57">
          <cell r="AE57">
            <v>17393</v>
          </cell>
        </row>
        <row r="58">
          <cell r="AE58">
            <v>14565</v>
          </cell>
        </row>
        <row r="59">
          <cell r="AE59">
            <v>646</v>
          </cell>
        </row>
        <row r="60">
          <cell r="AE60">
            <v>11839</v>
          </cell>
        </row>
        <row r="61">
          <cell r="AE61">
            <v>2092</v>
          </cell>
        </row>
        <row r="62">
          <cell r="AE62">
            <v>5255</v>
          </cell>
        </row>
        <row r="63">
          <cell r="AE63">
            <v>5332</v>
          </cell>
        </row>
        <row r="64">
          <cell r="AE64">
            <v>4441</v>
          </cell>
        </row>
        <row r="65">
          <cell r="AE65">
            <v>4376</v>
          </cell>
        </row>
        <row r="66">
          <cell r="AE66">
            <v>2522</v>
          </cell>
        </row>
        <row r="67">
          <cell r="AE67">
            <v>1600</v>
          </cell>
        </row>
        <row r="68">
          <cell r="AE68">
            <v>1070</v>
          </cell>
        </row>
        <row r="69">
          <cell r="AE69">
            <v>1727</v>
          </cell>
        </row>
        <row r="70">
          <cell r="AE70">
            <v>6660</v>
          </cell>
        </row>
        <row r="71">
          <cell r="AE71">
            <v>1895</v>
          </cell>
        </row>
        <row r="72">
          <cell r="AE72">
            <v>2264</v>
          </cell>
        </row>
        <row r="73">
          <cell r="AE73">
            <v>1411</v>
          </cell>
        </row>
        <row r="74">
          <cell r="AE74">
            <v>2184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E-Oct 2012-Supreme Court"/>
      <sheetName val="MS5627_CTE -Reformatted"/>
      <sheetName val="MS5627_CTE rollout"/>
    </sheetNames>
    <sheetDataSet>
      <sheetData sheetId="0">
        <row r="7">
          <cell r="AC7">
            <v>2987</v>
          </cell>
        </row>
        <row r="8">
          <cell r="AC8">
            <v>1498</v>
          </cell>
        </row>
        <row r="9">
          <cell r="AC9">
            <v>7749.5</v>
          </cell>
        </row>
        <row r="10">
          <cell r="AC10">
            <v>1685</v>
          </cell>
        </row>
        <row r="11">
          <cell r="AC11">
            <v>2215</v>
          </cell>
        </row>
        <row r="12">
          <cell r="AC12">
            <v>1850.5</v>
          </cell>
        </row>
        <row r="13">
          <cell r="AC13">
            <v>751.5</v>
          </cell>
        </row>
        <row r="14">
          <cell r="AC14">
            <v>6694</v>
          </cell>
        </row>
        <row r="15">
          <cell r="AC15">
            <v>11432.5</v>
          </cell>
        </row>
        <row r="16">
          <cell r="AC16">
            <v>8022.5</v>
          </cell>
        </row>
        <row r="17">
          <cell r="AC17">
            <v>623.5</v>
          </cell>
        </row>
        <row r="18">
          <cell r="AC18">
            <v>513</v>
          </cell>
        </row>
        <row r="19">
          <cell r="AC19">
            <v>729</v>
          </cell>
        </row>
        <row r="20">
          <cell r="AC20">
            <v>518</v>
          </cell>
        </row>
        <row r="21">
          <cell r="AC21">
            <v>1246.5</v>
          </cell>
        </row>
        <row r="22">
          <cell r="AC22">
            <v>1918</v>
          </cell>
        </row>
        <row r="23">
          <cell r="AC23">
            <v>15595.5</v>
          </cell>
        </row>
        <row r="24">
          <cell r="AC24">
            <v>419.5</v>
          </cell>
        </row>
        <row r="25">
          <cell r="AC25">
            <v>683</v>
          </cell>
        </row>
        <row r="26">
          <cell r="AC26">
            <v>1811.5</v>
          </cell>
        </row>
        <row r="27">
          <cell r="AC27">
            <v>1179.5</v>
          </cell>
        </row>
        <row r="28">
          <cell r="AC28">
            <v>920</v>
          </cell>
        </row>
        <row r="29">
          <cell r="AC29">
            <v>5491</v>
          </cell>
        </row>
        <row r="30">
          <cell r="AC30">
            <v>1153.5</v>
          </cell>
        </row>
        <row r="31">
          <cell r="AC31">
            <v>1241.5</v>
          </cell>
        </row>
        <row r="32">
          <cell r="AC32">
            <v>12635</v>
          </cell>
        </row>
        <row r="33">
          <cell r="AC33">
            <v>2317.5</v>
          </cell>
        </row>
        <row r="34">
          <cell r="AC34">
            <v>6269</v>
          </cell>
        </row>
        <row r="35">
          <cell r="AC35">
            <v>5750.5</v>
          </cell>
        </row>
        <row r="36">
          <cell r="AC36">
            <v>906.5</v>
          </cell>
        </row>
        <row r="37">
          <cell r="AC37">
            <v>2323</v>
          </cell>
        </row>
        <row r="38">
          <cell r="AC38">
            <v>10588</v>
          </cell>
        </row>
        <row r="39">
          <cell r="AC39">
            <v>598</v>
          </cell>
        </row>
        <row r="40">
          <cell r="AC40">
            <v>1791</v>
          </cell>
        </row>
        <row r="41">
          <cell r="AC41">
            <v>1874</v>
          </cell>
        </row>
        <row r="42">
          <cell r="AC42">
            <v>4949.5</v>
          </cell>
        </row>
        <row r="43">
          <cell r="AC43">
            <v>3841</v>
          </cell>
        </row>
        <row r="44">
          <cell r="AC44">
            <v>1287.5</v>
          </cell>
        </row>
        <row r="45">
          <cell r="AC45">
            <v>887.5</v>
          </cell>
        </row>
        <row r="46">
          <cell r="AC46">
            <v>10141</v>
          </cell>
        </row>
        <row r="47">
          <cell r="AC47">
            <v>841.5</v>
          </cell>
        </row>
        <row r="48">
          <cell r="AC48">
            <v>858.5</v>
          </cell>
        </row>
        <row r="49">
          <cell r="AC49">
            <v>1513.5</v>
          </cell>
        </row>
        <row r="50">
          <cell r="AC50">
            <v>1797</v>
          </cell>
        </row>
        <row r="51">
          <cell r="AC51">
            <v>4040</v>
          </cell>
        </row>
        <row r="52">
          <cell r="AC52">
            <v>313.5</v>
          </cell>
        </row>
        <row r="53">
          <cell r="AC53">
            <v>1639</v>
          </cell>
        </row>
        <row r="54">
          <cell r="AC54">
            <v>2130.5</v>
          </cell>
        </row>
        <row r="55">
          <cell r="AC55">
            <v>4678</v>
          </cell>
        </row>
        <row r="56">
          <cell r="AC56">
            <v>3473.5</v>
          </cell>
        </row>
        <row r="57">
          <cell r="AC57">
            <v>3065</v>
          </cell>
        </row>
        <row r="58">
          <cell r="AC58">
            <v>18242</v>
          </cell>
        </row>
        <row r="59">
          <cell r="AC59">
            <v>6518</v>
          </cell>
        </row>
        <row r="60">
          <cell r="AC60">
            <v>234</v>
          </cell>
        </row>
        <row r="61">
          <cell r="AC61">
            <v>6229.5</v>
          </cell>
        </row>
        <row r="62">
          <cell r="AC62">
            <v>807</v>
          </cell>
        </row>
        <row r="63">
          <cell r="AC63">
            <v>3235.5</v>
          </cell>
        </row>
        <row r="64">
          <cell r="AC64">
            <v>3275</v>
          </cell>
        </row>
        <row r="65">
          <cell r="AC65">
            <v>2144.5</v>
          </cell>
        </row>
        <row r="66">
          <cell r="AC66">
            <v>2673</v>
          </cell>
        </row>
        <row r="67">
          <cell r="AC67">
            <v>1264</v>
          </cell>
        </row>
        <row r="68">
          <cell r="AC68">
            <v>657.5</v>
          </cell>
        </row>
        <row r="69">
          <cell r="AC69">
            <v>613</v>
          </cell>
        </row>
        <row r="70">
          <cell r="AC70">
            <v>1264</v>
          </cell>
        </row>
        <row r="71">
          <cell r="AC71">
            <v>2275.5</v>
          </cell>
        </row>
        <row r="72">
          <cell r="AC72">
            <v>417</v>
          </cell>
        </row>
        <row r="73">
          <cell r="AC73">
            <v>1467</v>
          </cell>
        </row>
        <row r="74">
          <cell r="AC74">
            <v>679</v>
          </cell>
        </row>
        <row r="75">
          <cell r="AC75">
            <v>1412.5</v>
          </cell>
        </row>
      </sheetData>
      <sheetData sheetId="1">
        <row r="7">
          <cell r="C7">
            <v>2977.5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WD 2-1-13 Supreme Court"/>
      <sheetName val="Rollup_SWD"/>
      <sheetName val="Rollup_GT"/>
      <sheetName val="Student Level Files_SWD"/>
      <sheetName val="Student Level Files_GT"/>
    </sheetNames>
    <sheetDataSet>
      <sheetData sheetId="0" refreshError="1">
        <row r="6">
          <cell r="Z6">
            <v>928</v>
          </cell>
        </row>
        <row r="7">
          <cell r="Z7">
            <v>445</v>
          </cell>
        </row>
        <row r="8">
          <cell r="Z8">
            <v>2246</v>
          </cell>
        </row>
        <row r="9">
          <cell r="Z9">
            <v>485</v>
          </cell>
        </row>
        <row r="10">
          <cell r="Z10">
            <v>553</v>
          </cell>
        </row>
        <row r="11">
          <cell r="Z11">
            <v>936</v>
          </cell>
        </row>
        <row r="12">
          <cell r="Z12">
            <v>210</v>
          </cell>
        </row>
        <row r="13">
          <cell r="Z13">
            <v>2471</v>
          </cell>
        </row>
        <row r="14">
          <cell r="Z14">
            <v>4040</v>
          </cell>
        </row>
        <row r="15">
          <cell r="Z15">
            <v>4952</v>
          </cell>
        </row>
        <row r="16">
          <cell r="Z16">
            <v>303</v>
          </cell>
        </row>
        <row r="17">
          <cell r="Z17">
            <v>148</v>
          </cell>
        </row>
        <row r="18">
          <cell r="Z18">
            <v>170</v>
          </cell>
        </row>
        <row r="19">
          <cell r="Z19">
            <v>347</v>
          </cell>
        </row>
        <row r="20">
          <cell r="Z20">
            <v>356</v>
          </cell>
        </row>
        <row r="21">
          <cell r="Z21">
            <v>565</v>
          </cell>
        </row>
        <row r="22">
          <cell r="Z22">
            <v>4556</v>
          </cell>
        </row>
        <row r="23">
          <cell r="Z23">
            <v>121</v>
          </cell>
        </row>
        <row r="24">
          <cell r="Z24">
            <v>270</v>
          </cell>
        </row>
        <row r="25">
          <cell r="Z25">
            <v>822</v>
          </cell>
        </row>
        <row r="26">
          <cell r="Z26">
            <v>409</v>
          </cell>
        </row>
        <row r="27">
          <cell r="Z27">
            <v>500</v>
          </cell>
        </row>
        <row r="28">
          <cell r="Z28">
            <v>1570</v>
          </cell>
        </row>
        <row r="29">
          <cell r="Z29">
            <v>430</v>
          </cell>
        </row>
        <row r="30">
          <cell r="Z30">
            <v>215</v>
          </cell>
        </row>
        <row r="31">
          <cell r="Z31">
            <v>5343</v>
          </cell>
        </row>
        <row r="32">
          <cell r="Z32">
            <v>804</v>
          </cell>
        </row>
        <row r="33">
          <cell r="Z33">
            <v>2748</v>
          </cell>
        </row>
        <row r="34">
          <cell r="Z34">
            <v>1121</v>
          </cell>
        </row>
        <row r="35">
          <cell r="Z35">
            <v>230</v>
          </cell>
        </row>
        <row r="36">
          <cell r="Z36">
            <v>743</v>
          </cell>
        </row>
        <row r="37">
          <cell r="Z37">
            <v>3207</v>
          </cell>
        </row>
        <row r="38">
          <cell r="Z38">
            <v>198</v>
          </cell>
        </row>
        <row r="39">
          <cell r="Z39">
            <v>705</v>
          </cell>
        </row>
        <row r="40">
          <cell r="Z40">
            <v>740</v>
          </cell>
        </row>
        <row r="41">
          <cell r="Z41">
            <v>4700</v>
          </cell>
        </row>
        <row r="42">
          <cell r="Z42">
            <v>2495</v>
          </cell>
        </row>
        <row r="43">
          <cell r="Z43">
            <v>474</v>
          </cell>
        </row>
        <row r="44">
          <cell r="Z44">
            <v>466</v>
          </cell>
        </row>
        <row r="45">
          <cell r="Z45">
            <v>2554</v>
          </cell>
        </row>
        <row r="46">
          <cell r="Z46">
            <v>124</v>
          </cell>
        </row>
        <row r="47">
          <cell r="Z47">
            <v>378</v>
          </cell>
        </row>
        <row r="48">
          <cell r="Z48">
            <v>535</v>
          </cell>
        </row>
        <row r="49">
          <cell r="Z49">
            <v>694</v>
          </cell>
        </row>
        <row r="50">
          <cell r="Z50">
            <v>929</v>
          </cell>
        </row>
        <row r="51">
          <cell r="Z51">
            <v>135</v>
          </cell>
        </row>
        <row r="52">
          <cell r="Z52">
            <v>504</v>
          </cell>
        </row>
        <row r="53">
          <cell r="Z53">
            <v>847</v>
          </cell>
        </row>
        <row r="54">
          <cell r="Z54">
            <v>1801</v>
          </cell>
        </row>
        <row r="55">
          <cell r="Z55">
            <v>866</v>
          </cell>
        </row>
        <row r="56">
          <cell r="Z56">
            <v>1301</v>
          </cell>
        </row>
        <row r="57">
          <cell r="Z57">
            <v>6201</v>
          </cell>
        </row>
        <row r="58">
          <cell r="Z58">
            <v>2184</v>
          </cell>
        </row>
        <row r="59">
          <cell r="Z59">
            <v>116</v>
          </cell>
        </row>
        <row r="60">
          <cell r="Z60">
            <v>2156</v>
          </cell>
        </row>
        <row r="61">
          <cell r="Z61">
            <v>373</v>
          </cell>
        </row>
        <row r="62">
          <cell r="Z62">
            <v>1093</v>
          </cell>
        </row>
        <row r="63">
          <cell r="Z63">
            <v>1021</v>
          </cell>
        </row>
        <row r="64">
          <cell r="Z64">
            <v>828</v>
          </cell>
        </row>
        <row r="65">
          <cell r="Z65">
            <v>702</v>
          </cell>
        </row>
        <row r="66">
          <cell r="Z66">
            <v>363</v>
          </cell>
        </row>
        <row r="67">
          <cell r="Z67">
            <v>232</v>
          </cell>
        </row>
        <row r="68">
          <cell r="Z68">
            <v>259</v>
          </cell>
        </row>
        <row r="69">
          <cell r="Z69">
            <v>320</v>
          </cell>
        </row>
        <row r="70">
          <cell r="Z70">
            <v>1288</v>
          </cell>
        </row>
        <row r="71">
          <cell r="Z71">
            <v>500</v>
          </cell>
        </row>
        <row r="72">
          <cell r="Z72">
            <v>418</v>
          </cell>
        </row>
        <row r="73">
          <cell r="Z73">
            <v>212</v>
          </cell>
        </row>
        <row r="74">
          <cell r="Z74">
            <v>278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_PS-12th Supreme Court"/>
      <sheetName val="Rollup_PS-8th"/>
      <sheetName val="Rollup_9th-12th"/>
      <sheetName val="Rollup_PS-12th"/>
      <sheetName val="Student Level_PS-Grade08_GT"/>
      <sheetName val="Student Level_Grade09thru12_GT"/>
      <sheetName val="Student Level File_Total"/>
    </sheetNames>
    <sheetDataSet>
      <sheetData sheetId="0">
        <row r="5">
          <cell r="T5">
            <v>84</v>
          </cell>
        </row>
        <row r="6">
          <cell r="T6">
            <v>54</v>
          </cell>
        </row>
        <row r="7">
          <cell r="T7">
            <v>546</v>
          </cell>
        </row>
        <row r="8">
          <cell r="T8">
            <v>90</v>
          </cell>
        </row>
        <row r="9">
          <cell r="T9">
            <v>5</v>
          </cell>
        </row>
        <row r="10">
          <cell r="T10">
            <v>76</v>
          </cell>
        </row>
        <row r="11">
          <cell r="T11">
            <v>31</v>
          </cell>
        </row>
        <row r="12">
          <cell r="T12">
            <v>963</v>
          </cell>
        </row>
        <row r="13">
          <cell r="T13">
            <v>1727</v>
          </cell>
        </row>
        <row r="14">
          <cell r="T14">
            <v>1285</v>
          </cell>
        </row>
        <row r="15">
          <cell r="T15">
            <v>27</v>
          </cell>
        </row>
        <row r="16">
          <cell r="T16">
            <v>91</v>
          </cell>
        </row>
        <row r="17">
          <cell r="T17">
            <v>30</v>
          </cell>
        </row>
        <row r="18">
          <cell r="T18">
            <v>104</v>
          </cell>
        </row>
        <row r="19">
          <cell r="T19">
            <v>83</v>
          </cell>
        </row>
        <row r="20">
          <cell r="T20">
            <v>210</v>
          </cell>
        </row>
        <row r="21">
          <cell r="T21">
            <v>1973</v>
          </cell>
        </row>
        <row r="22">
          <cell r="T22">
            <v>1</v>
          </cell>
        </row>
        <row r="23">
          <cell r="T23">
            <v>19</v>
          </cell>
        </row>
        <row r="24">
          <cell r="T24">
            <v>71</v>
          </cell>
        </row>
        <row r="25">
          <cell r="T25">
            <v>25</v>
          </cell>
        </row>
        <row r="26">
          <cell r="T26">
            <v>28</v>
          </cell>
        </row>
        <row r="27">
          <cell r="T27">
            <v>407</v>
          </cell>
        </row>
        <row r="28">
          <cell r="T28">
            <v>116</v>
          </cell>
        </row>
        <row r="29">
          <cell r="T29">
            <v>86</v>
          </cell>
        </row>
        <row r="30">
          <cell r="T30">
            <v>3456</v>
          </cell>
        </row>
        <row r="31">
          <cell r="T31">
            <v>143</v>
          </cell>
        </row>
        <row r="32">
          <cell r="T32">
            <v>1336</v>
          </cell>
        </row>
        <row r="33">
          <cell r="T33">
            <v>217</v>
          </cell>
        </row>
        <row r="34">
          <cell r="T34">
            <v>37</v>
          </cell>
        </row>
        <row r="35">
          <cell r="T35">
            <v>347</v>
          </cell>
        </row>
        <row r="36">
          <cell r="T36">
            <v>1158</v>
          </cell>
        </row>
        <row r="37">
          <cell r="T37">
            <v>10</v>
          </cell>
        </row>
        <row r="38">
          <cell r="T38">
            <v>49</v>
          </cell>
        </row>
        <row r="39">
          <cell r="T39">
            <v>224</v>
          </cell>
        </row>
        <row r="40">
          <cell r="T40">
            <v>2742</v>
          </cell>
        </row>
        <row r="41">
          <cell r="T41">
            <v>967</v>
          </cell>
        </row>
        <row r="42">
          <cell r="T42">
            <v>202</v>
          </cell>
        </row>
        <row r="43">
          <cell r="T43">
            <v>33</v>
          </cell>
        </row>
        <row r="44">
          <cell r="T44">
            <v>570</v>
          </cell>
        </row>
        <row r="45">
          <cell r="T45">
            <v>3</v>
          </cell>
        </row>
        <row r="46">
          <cell r="T46">
            <v>51</v>
          </cell>
        </row>
        <row r="47">
          <cell r="T47">
            <v>108</v>
          </cell>
        </row>
        <row r="48">
          <cell r="T48">
            <v>138</v>
          </cell>
        </row>
        <row r="49">
          <cell r="T49">
            <v>492</v>
          </cell>
        </row>
        <row r="50">
          <cell r="T50">
            <v>14</v>
          </cell>
        </row>
        <row r="51">
          <cell r="T51">
            <v>74</v>
          </cell>
        </row>
        <row r="52">
          <cell r="T52">
            <v>124</v>
          </cell>
        </row>
        <row r="53">
          <cell r="T53">
            <v>334</v>
          </cell>
        </row>
        <row r="54">
          <cell r="T54">
            <v>157</v>
          </cell>
        </row>
        <row r="55">
          <cell r="T55">
            <v>579</v>
          </cell>
        </row>
        <row r="56">
          <cell r="T56">
            <v>3396</v>
          </cell>
        </row>
        <row r="57">
          <cell r="T57">
            <v>414</v>
          </cell>
        </row>
        <row r="58">
          <cell r="T58">
            <v>30</v>
          </cell>
        </row>
        <row r="59">
          <cell r="T59">
            <v>690</v>
          </cell>
        </row>
        <row r="60">
          <cell r="T60">
            <v>22</v>
          </cell>
        </row>
        <row r="61">
          <cell r="T61">
            <v>187</v>
          </cell>
        </row>
        <row r="62">
          <cell r="T62">
            <v>233</v>
          </cell>
        </row>
        <row r="63">
          <cell r="T63">
            <v>327</v>
          </cell>
        </row>
        <row r="64">
          <cell r="T64">
            <v>302</v>
          </cell>
        </row>
        <row r="65">
          <cell r="T65">
            <v>139</v>
          </cell>
        </row>
        <row r="66">
          <cell r="T66">
            <v>18</v>
          </cell>
        </row>
        <row r="67">
          <cell r="T67">
            <v>139</v>
          </cell>
        </row>
        <row r="68">
          <cell r="T68">
            <v>82</v>
          </cell>
        </row>
        <row r="69">
          <cell r="T69">
            <v>592</v>
          </cell>
        </row>
        <row r="70">
          <cell r="T70">
            <v>108</v>
          </cell>
        </row>
        <row r="71">
          <cell r="T71">
            <v>427</v>
          </cell>
        </row>
        <row r="72">
          <cell r="T72">
            <v>4</v>
          </cell>
        </row>
        <row r="73">
          <cell r="T73">
            <v>272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 State Summary"/>
      <sheetName val="Table 2 Distributions &amp; Adjust"/>
      <sheetName val="Table 2A EFTs"/>
      <sheetName val="Table 3 Levels 1&amp;2"/>
      <sheetName val="Table 4 Level 3"/>
      <sheetName val="Table 4A Stipends"/>
      <sheetName val="Table 5A1 Labs NOCCA LSMSA"/>
      <sheetName val="Table 5B1_RSD_Orleans"/>
      <sheetName val="Table 5B2_RSD_LA"/>
      <sheetName val="Table 5C1 - Type 2s"/>
      <sheetName val="Table 5C2 - LA Virtual Admy"/>
      <sheetName val="Table 5C3 - LA Connections EBR"/>
      <sheetName val="Table 5D - Legacy Type 2"/>
      <sheetName val="Table 5E_OJJ"/>
      <sheetName val="Table 6 (Local Deduct Calc.)"/>
      <sheetName val="Table 7 Local Revenue"/>
      <sheetName val="Table 8   2-1-10 Membership"/>
    </sheetNames>
    <sheetDataSet>
      <sheetData sheetId="0"/>
      <sheetData sheetId="1"/>
      <sheetData sheetId="2"/>
      <sheetData sheetId="3"/>
      <sheetData sheetId="4">
        <row r="6">
          <cell r="F6">
            <v>0</v>
          </cell>
          <cell r="H6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Summary of Simulation "/>
      <sheetName val="Table 1 State Summary "/>
      <sheetName val="Table 2_State Distrib and Adjs"/>
      <sheetName val="Table 2A-1_EFT (Annual)"/>
      <sheetName val="Table 2A-2 EFT (Monthly)"/>
      <sheetName val="Table 3 Levels 1&amp;2"/>
      <sheetName val="Table 3A-CityParish LEA "/>
      <sheetName val="Table 4 Level 3"/>
      <sheetName val="Table 4A Stipends"/>
      <sheetName val="Table 4B Rewards"/>
      <sheetName val="Table 5A1 Labs "/>
      <sheetName val="Table 5A2 LSMSA"/>
      <sheetName val="Table 5A3 NOCCA"/>
      <sheetName val="Table 5A4_LSDVI"/>
      <sheetName val="Table 5A5_SSD"/>
      <sheetName val="Table 5B1_RSD_Orleans"/>
      <sheetName val="Table 5B2_RSD_LA"/>
      <sheetName val="Table 5C1A-Madison Prep"/>
      <sheetName val="Table 5C1B-DArbonne"/>
      <sheetName val="Table 5C1C-Intl_VIBE"/>
      <sheetName val="Table 5C1D-NOMMA"/>
      <sheetName val="Table 5C1E-LFNO"/>
      <sheetName val="Table 5C1F-Lake Charles Charter"/>
      <sheetName val="Table 5C1G-JS Clark Academy"/>
      <sheetName val="Table 5C1H-Southwest LA Charter"/>
      <sheetName val="Table 5C2 - LA Virtual Admy"/>
      <sheetName val="Table 5C3 - LA Connections EBR"/>
      <sheetName val="Table 5D1 - New Vision"/>
      <sheetName val="Table 5D2 - Glencoe"/>
      <sheetName val="Table 5D3 - International"/>
      <sheetName val="Table 5D4 - Avoyelles"/>
      <sheetName val="Table 5D5 - Delhi"/>
      <sheetName val="Table 5D6 - Milestone"/>
      <sheetName val="Table 5D7 - Max"/>
      <sheetName val="Table 5D8 - Belle Chasse"/>
      <sheetName val="Table 5E_OJJ"/>
      <sheetName val="Table 5F Scholarships"/>
      <sheetName val="Table 6 (Local Deduct Calc.)"/>
      <sheetName val="Table 7 Local Revenue"/>
      <sheetName val="Table 8 2.1.12 MFP Funded"/>
      <sheetName val="2-1-12 MFP Funded by site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C8">
            <v>9351</v>
          </cell>
        </row>
      </sheetData>
      <sheetData sheetId="7"/>
      <sheetData sheetId="8">
        <row r="7">
          <cell r="F7">
            <v>0</v>
          </cell>
          <cell r="H7">
            <v>0</v>
          </cell>
        </row>
        <row r="8">
          <cell r="F8">
            <v>0</v>
          </cell>
          <cell r="H8">
            <v>0</v>
          </cell>
        </row>
        <row r="9">
          <cell r="F9">
            <v>0</v>
          </cell>
          <cell r="H9">
            <v>0</v>
          </cell>
        </row>
        <row r="10">
          <cell r="F10">
            <v>0</v>
          </cell>
          <cell r="H10">
            <v>0</v>
          </cell>
        </row>
        <row r="11">
          <cell r="F11">
            <v>0</v>
          </cell>
          <cell r="H11">
            <v>0</v>
          </cell>
        </row>
        <row r="12">
          <cell r="F12">
            <v>0</v>
          </cell>
          <cell r="H12">
            <v>0</v>
          </cell>
        </row>
        <row r="13">
          <cell r="F13">
            <v>0</v>
          </cell>
          <cell r="H13">
            <v>0</v>
          </cell>
        </row>
        <row r="14">
          <cell r="F14">
            <v>0</v>
          </cell>
          <cell r="H14">
            <v>0</v>
          </cell>
        </row>
        <row r="15">
          <cell r="F15">
            <v>0</v>
          </cell>
          <cell r="H15">
            <v>0</v>
          </cell>
        </row>
        <row r="16">
          <cell r="F16">
            <v>0</v>
          </cell>
          <cell r="H16">
            <v>0</v>
          </cell>
        </row>
        <row r="17">
          <cell r="F17">
            <v>0</v>
          </cell>
          <cell r="H17">
            <v>0</v>
          </cell>
        </row>
        <row r="18">
          <cell r="F18">
            <v>0</v>
          </cell>
          <cell r="H18">
            <v>0</v>
          </cell>
        </row>
        <row r="19">
          <cell r="F19">
            <v>0</v>
          </cell>
          <cell r="H19">
            <v>0</v>
          </cell>
        </row>
        <row r="20">
          <cell r="F20">
            <v>-112210</v>
          </cell>
          <cell r="H20">
            <v>-22442</v>
          </cell>
        </row>
        <row r="21">
          <cell r="F21">
            <v>0</v>
          </cell>
          <cell r="H21">
            <v>0</v>
          </cell>
        </row>
        <row r="22">
          <cell r="F22">
            <v>-6007410</v>
          </cell>
          <cell r="H22">
            <v>-1201482</v>
          </cell>
        </row>
        <row r="23">
          <cell r="F23">
            <v>0</v>
          </cell>
          <cell r="H23">
            <v>0</v>
          </cell>
        </row>
        <row r="24">
          <cell r="F24">
            <v>0</v>
          </cell>
          <cell r="H24">
            <v>0</v>
          </cell>
        </row>
        <row r="25">
          <cell r="F25">
            <v>-87810</v>
          </cell>
          <cell r="H25">
            <v>-17562</v>
          </cell>
        </row>
        <row r="26">
          <cell r="F26">
            <v>0</v>
          </cell>
          <cell r="H26">
            <v>0</v>
          </cell>
        </row>
        <row r="27">
          <cell r="F27">
            <v>0</v>
          </cell>
          <cell r="H27">
            <v>0</v>
          </cell>
        </row>
        <row r="28">
          <cell r="F28">
            <v>0</v>
          </cell>
          <cell r="H28">
            <v>0</v>
          </cell>
        </row>
        <row r="29">
          <cell r="F29">
            <v>-383602</v>
          </cell>
          <cell r="H29">
            <v>-76720</v>
          </cell>
        </row>
        <row r="30">
          <cell r="F30">
            <v>0</v>
          </cell>
          <cell r="H30">
            <v>0</v>
          </cell>
        </row>
        <row r="31">
          <cell r="F31">
            <v>-4244622</v>
          </cell>
          <cell r="H31">
            <v>-848924</v>
          </cell>
        </row>
        <row r="32">
          <cell r="F32">
            <v>0</v>
          </cell>
          <cell r="H32">
            <v>0</v>
          </cell>
        </row>
        <row r="33">
          <cell r="F33">
            <v>0</v>
          </cell>
          <cell r="H33">
            <v>0</v>
          </cell>
        </row>
        <row r="34">
          <cell r="F34">
            <v>0</v>
          </cell>
          <cell r="H34">
            <v>0</v>
          </cell>
        </row>
        <row r="35">
          <cell r="F35">
            <v>0</v>
          </cell>
          <cell r="H35">
            <v>0</v>
          </cell>
        </row>
        <row r="36">
          <cell r="F36">
            <v>0</v>
          </cell>
          <cell r="H36">
            <v>0</v>
          </cell>
        </row>
        <row r="37">
          <cell r="F37">
            <v>0</v>
          </cell>
          <cell r="H37">
            <v>0</v>
          </cell>
        </row>
        <row r="38">
          <cell r="F38">
            <v>0</v>
          </cell>
          <cell r="H38">
            <v>0</v>
          </cell>
        </row>
        <row r="39">
          <cell r="F39">
            <v>0</v>
          </cell>
          <cell r="H39">
            <v>0</v>
          </cell>
        </row>
        <row r="40">
          <cell r="F40">
            <v>0</v>
          </cell>
          <cell r="H40">
            <v>0</v>
          </cell>
        </row>
        <row r="41">
          <cell r="F41">
            <v>0</v>
          </cell>
          <cell r="H41">
            <v>0</v>
          </cell>
        </row>
        <row r="42">
          <cell r="F42">
            <v>0</v>
          </cell>
          <cell r="H42">
            <v>0</v>
          </cell>
        </row>
        <row r="43">
          <cell r="F43">
            <v>-2064840</v>
          </cell>
          <cell r="H43">
            <v>-412968</v>
          </cell>
        </row>
        <row r="44">
          <cell r="F44">
            <v>0</v>
          </cell>
          <cell r="H44">
            <v>0</v>
          </cell>
        </row>
        <row r="45">
          <cell r="F45">
            <v>0</v>
          </cell>
          <cell r="H45">
            <v>0</v>
          </cell>
        </row>
        <row r="46">
          <cell r="F46">
            <v>0</v>
          </cell>
          <cell r="H46">
            <v>0</v>
          </cell>
        </row>
        <row r="47">
          <cell r="F47">
            <v>0</v>
          </cell>
          <cell r="H47">
            <v>0</v>
          </cell>
        </row>
        <row r="48">
          <cell r="F48">
            <v>0</v>
          </cell>
          <cell r="H48">
            <v>0</v>
          </cell>
        </row>
        <row r="49">
          <cell r="F49">
            <v>0</v>
          </cell>
          <cell r="H49">
            <v>0</v>
          </cell>
        </row>
        <row r="50">
          <cell r="F50">
            <v>-3947911</v>
          </cell>
          <cell r="H50">
            <v>-537733</v>
          </cell>
        </row>
        <row r="51">
          <cell r="F51">
            <v>0</v>
          </cell>
          <cell r="H51">
            <v>0</v>
          </cell>
        </row>
        <row r="52">
          <cell r="F52">
            <v>-395225</v>
          </cell>
          <cell r="H52">
            <v>-79045</v>
          </cell>
        </row>
        <row r="53">
          <cell r="F53">
            <v>0</v>
          </cell>
          <cell r="H53">
            <v>0</v>
          </cell>
        </row>
        <row r="54">
          <cell r="F54">
            <v>0</v>
          </cell>
          <cell r="H54">
            <v>0</v>
          </cell>
        </row>
        <row r="55">
          <cell r="F55">
            <v>0</v>
          </cell>
          <cell r="H55">
            <v>0</v>
          </cell>
        </row>
        <row r="56">
          <cell r="F56">
            <v>0</v>
          </cell>
          <cell r="H56">
            <v>0</v>
          </cell>
        </row>
        <row r="57">
          <cell r="F57">
            <v>0</v>
          </cell>
          <cell r="H57">
            <v>0</v>
          </cell>
        </row>
        <row r="58">
          <cell r="F58">
            <v>0</v>
          </cell>
          <cell r="H58">
            <v>0</v>
          </cell>
        </row>
        <row r="59">
          <cell r="F59">
            <v>0</v>
          </cell>
          <cell r="H59">
            <v>0</v>
          </cell>
        </row>
        <row r="60">
          <cell r="F60">
            <v>0</v>
          </cell>
          <cell r="H60">
            <v>0</v>
          </cell>
        </row>
        <row r="61">
          <cell r="F61">
            <v>0</v>
          </cell>
          <cell r="H61">
            <v>0</v>
          </cell>
        </row>
        <row r="62">
          <cell r="F62">
            <v>0</v>
          </cell>
          <cell r="H62">
            <v>0</v>
          </cell>
        </row>
        <row r="63">
          <cell r="F63">
            <v>0</v>
          </cell>
          <cell r="H63">
            <v>0</v>
          </cell>
        </row>
        <row r="64">
          <cell r="F64">
            <v>0</v>
          </cell>
          <cell r="H64">
            <v>0</v>
          </cell>
        </row>
        <row r="65">
          <cell r="F65">
            <v>0</v>
          </cell>
          <cell r="H65">
            <v>0</v>
          </cell>
        </row>
        <row r="66">
          <cell r="F66">
            <v>0</v>
          </cell>
          <cell r="H66">
            <v>0</v>
          </cell>
        </row>
        <row r="67">
          <cell r="F67">
            <v>0</v>
          </cell>
          <cell r="H67">
            <v>0</v>
          </cell>
        </row>
        <row r="68">
          <cell r="F68">
            <v>-2614100</v>
          </cell>
          <cell r="H68">
            <v>-522820</v>
          </cell>
        </row>
        <row r="69">
          <cell r="F69">
            <v>0</v>
          </cell>
          <cell r="H69">
            <v>0</v>
          </cell>
        </row>
        <row r="70">
          <cell r="F70">
            <v>0</v>
          </cell>
          <cell r="H70">
            <v>0</v>
          </cell>
        </row>
        <row r="71">
          <cell r="F71">
            <v>0</v>
          </cell>
          <cell r="H71">
            <v>0</v>
          </cell>
        </row>
        <row r="72">
          <cell r="F72">
            <v>0</v>
          </cell>
          <cell r="H72">
            <v>0</v>
          </cell>
        </row>
        <row r="73">
          <cell r="F73">
            <v>0</v>
          </cell>
          <cell r="H73">
            <v>0</v>
          </cell>
        </row>
        <row r="74">
          <cell r="F74">
            <v>0</v>
          </cell>
          <cell r="H74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-Reformatted"/>
      <sheetName val="ALL"/>
      <sheetName val="SSD"/>
      <sheetName val="LSDVI"/>
      <sheetName val="OJJ"/>
      <sheetName val="Raw Data"/>
    </sheetNames>
    <sheetDataSet>
      <sheetData sheetId="0">
        <row r="14">
          <cell r="D14">
            <v>508</v>
          </cell>
          <cell r="F14">
            <v>147</v>
          </cell>
        </row>
        <row r="22">
          <cell r="D22">
            <v>497</v>
          </cell>
        </row>
        <row r="44">
          <cell r="F44">
            <v>231</v>
          </cell>
        </row>
        <row r="51">
          <cell r="F51">
            <v>316</v>
          </cell>
        </row>
        <row r="77">
          <cell r="AF77">
            <v>1376</v>
          </cell>
          <cell r="AG77">
            <v>391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showGridLines="0" tabSelected="1" view="pageBreakPreview" zoomScale="80" zoomScaleNormal="80" zoomScaleSheetLayoutView="80" workbookViewId="0">
      <pane xSplit="3" ySplit="9" topLeftCell="D73" activePane="bottomRight" state="frozen"/>
      <selection activeCell="B3" sqref="B3:B5"/>
      <selection pane="topRight" activeCell="B3" sqref="B3:B5"/>
      <selection pane="bottomLeft" activeCell="B3" sqref="B3:B5"/>
      <selection pane="bottomRight" activeCell="P82" sqref="P82"/>
    </sheetView>
  </sheetViews>
  <sheetFormatPr defaultRowHeight="12.75"/>
  <cols>
    <col min="1" max="1" width="4.28515625" customWidth="1"/>
    <col min="2" max="2" width="6.42578125" customWidth="1"/>
    <col min="3" max="3" width="63.7109375" customWidth="1"/>
    <col min="4" max="4" width="20" bestFit="1" customWidth="1"/>
    <col min="5" max="5" width="16.5703125" bestFit="1" customWidth="1"/>
    <col min="6" max="6" width="1.7109375" customWidth="1"/>
    <col min="7" max="7" width="17" bestFit="1" customWidth="1"/>
    <col min="8" max="8" width="12.85546875" customWidth="1"/>
    <col min="9" max="9" width="3" customWidth="1"/>
    <col min="10" max="10" width="11.7109375" bestFit="1" customWidth="1"/>
    <col min="11" max="11" width="9.85546875" bestFit="1" customWidth="1"/>
  </cols>
  <sheetData>
    <row r="1" spans="1:10" ht="7.5" customHeight="1"/>
    <row r="2" spans="1:10" ht="24" customHeight="1">
      <c r="A2" s="1526" t="s">
        <v>602</v>
      </c>
      <c r="B2" s="1527"/>
      <c r="C2" s="1527"/>
      <c r="D2" s="1527"/>
      <c r="E2" s="1527"/>
      <c r="F2" s="1527"/>
      <c r="G2" s="1527"/>
      <c r="H2" s="1527"/>
    </row>
    <row r="3" spans="1:10" ht="29.25" customHeight="1">
      <c r="A3" s="1528" t="s">
        <v>202</v>
      </c>
      <c r="B3" s="1528"/>
      <c r="C3" s="1528"/>
      <c r="D3" s="1528"/>
      <c r="E3" s="1528"/>
      <c r="F3" s="1528"/>
      <c r="G3" s="1528"/>
      <c r="H3" s="1528"/>
    </row>
    <row r="4" spans="1:10" ht="6.75" customHeight="1" thickBot="1">
      <c r="A4" s="1529"/>
      <c r="B4" s="1530"/>
      <c r="C4" s="1530"/>
      <c r="D4" s="1530"/>
      <c r="E4" s="1530"/>
      <c r="F4" s="1530"/>
      <c r="G4" s="1530"/>
      <c r="H4" s="1530"/>
      <c r="J4" s="796"/>
    </row>
    <row r="5" spans="1:10" s="35" customFormat="1" ht="12" customHeight="1" thickTop="1">
      <c r="A5" s="24"/>
      <c r="B5" s="25"/>
      <c r="C5" s="41"/>
      <c r="D5" s="1531" t="s">
        <v>526</v>
      </c>
      <c r="E5" s="1540" t="s">
        <v>964</v>
      </c>
      <c r="F5" s="1541"/>
      <c r="G5" s="1534" t="s">
        <v>575</v>
      </c>
      <c r="H5" s="1537" t="s">
        <v>20</v>
      </c>
    </row>
    <row r="6" spans="1:10" ht="24" customHeight="1">
      <c r="A6" s="180"/>
      <c r="B6" s="174"/>
      <c r="C6" s="175"/>
      <c r="D6" s="1532"/>
      <c r="E6" s="1542"/>
      <c r="F6" s="1543"/>
      <c r="G6" s="1535"/>
      <c r="H6" s="1538"/>
    </row>
    <row r="7" spans="1:10" s="35" customFormat="1" ht="20.100000000000001" customHeight="1">
      <c r="A7" s="180"/>
      <c r="B7" s="174"/>
      <c r="C7" s="42"/>
      <c r="D7" s="1532"/>
      <c r="E7" s="1542"/>
      <c r="F7" s="1543"/>
      <c r="G7" s="1535"/>
      <c r="H7" s="1538"/>
    </row>
    <row r="8" spans="1:10" s="35" customFormat="1" ht="27.75" customHeight="1" thickBot="1">
      <c r="A8" s="181"/>
      <c r="B8" s="26"/>
      <c r="C8" s="111" t="s">
        <v>176</v>
      </c>
      <c r="D8" s="1533"/>
      <c r="E8" s="1544"/>
      <c r="F8" s="1545"/>
      <c r="G8" s="1536"/>
      <c r="H8" s="1539"/>
    </row>
    <row r="9" spans="1:10" s="35" customFormat="1" ht="18.75" customHeight="1" thickTop="1" thickBot="1">
      <c r="A9" s="182" t="s">
        <v>168</v>
      </c>
      <c r="B9" s="50" t="s">
        <v>159</v>
      </c>
      <c r="C9" s="51"/>
      <c r="D9" s="864">
        <v>3855</v>
      </c>
      <c r="E9" s="864">
        <f>'Table 3 Levels 1&amp;2'!Q77</f>
        <v>3855</v>
      </c>
      <c r="F9" s="865"/>
      <c r="G9" s="218">
        <f>E9-D9</f>
        <v>0</v>
      </c>
      <c r="H9" s="509">
        <f t="shared" ref="H9:H24" si="0">ROUND((E9/D9)-1,4)</f>
        <v>0</v>
      </c>
    </row>
    <row r="10" spans="1:10" s="35" customFormat="1" ht="32.25" customHeight="1">
      <c r="A10" s="784" t="s">
        <v>169</v>
      </c>
      <c r="B10" s="1547" t="s">
        <v>912</v>
      </c>
      <c r="C10" s="1548"/>
      <c r="D10" s="1072">
        <v>944883</v>
      </c>
      <c r="E10" s="1072">
        <f>E12+E20+E21+E22+E23+E24</f>
        <v>940547.9</v>
      </c>
      <c r="F10" s="1073"/>
      <c r="G10" s="1074">
        <f>E10-D10</f>
        <v>-4335.0999999999767</v>
      </c>
      <c r="H10" s="510">
        <f t="shared" si="0"/>
        <v>-4.5999999999999999E-3</v>
      </c>
    </row>
    <row r="11" spans="1:10" s="35" customFormat="1" ht="21.75" customHeight="1">
      <c r="A11" s="183"/>
      <c r="B11" s="30" t="s">
        <v>160</v>
      </c>
      <c r="C11" s="29" t="s">
        <v>598</v>
      </c>
      <c r="D11" s="866"/>
      <c r="E11" s="866"/>
      <c r="F11" s="867"/>
      <c r="G11" s="139"/>
      <c r="H11" s="511"/>
    </row>
    <row r="12" spans="1:10" s="35" customFormat="1" ht="31.5" customHeight="1">
      <c r="A12" s="183"/>
      <c r="B12" s="1075" t="s">
        <v>480</v>
      </c>
      <c r="C12" s="1076" t="s">
        <v>913</v>
      </c>
      <c r="D12" s="1070">
        <v>676830</v>
      </c>
      <c r="E12" s="1070">
        <f>'Table 3 Levels 1&amp;2'!C77</f>
        <v>673908</v>
      </c>
      <c r="F12" s="1071"/>
      <c r="G12" s="205">
        <f t="shared" ref="G12:G24" si="1">E12-D12</f>
        <v>-2922</v>
      </c>
      <c r="H12" s="511">
        <f t="shared" si="0"/>
        <v>-4.3E-3</v>
      </c>
    </row>
    <row r="13" spans="1:10" s="35" customFormat="1" ht="21.75" customHeight="1">
      <c r="A13" s="183"/>
      <c r="B13" s="1069" t="s">
        <v>475</v>
      </c>
      <c r="C13" s="29" t="s">
        <v>381</v>
      </c>
      <c r="D13" s="866">
        <v>1625</v>
      </c>
      <c r="E13" s="866">
        <f>'Table 5A Labs, NOCCA,LSMSA'!B10</f>
        <v>1767</v>
      </c>
      <c r="F13" s="867"/>
      <c r="G13" s="139">
        <f t="shared" si="1"/>
        <v>142</v>
      </c>
      <c r="H13" s="511">
        <f t="shared" si="0"/>
        <v>8.7400000000000005E-2</v>
      </c>
    </row>
    <row r="14" spans="1:10" s="35" customFormat="1" ht="18" customHeight="1">
      <c r="A14" s="183"/>
      <c r="B14" s="1069" t="s">
        <v>476</v>
      </c>
      <c r="C14" s="29" t="s">
        <v>382</v>
      </c>
      <c r="D14" s="866">
        <v>310.69909400000006</v>
      </c>
      <c r="E14" s="866">
        <f>'Table 5E_OJJ'!C76</f>
        <v>273.58268899999996</v>
      </c>
      <c r="F14" s="867"/>
      <c r="G14" s="139">
        <f t="shared" si="1"/>
        <v>-37.1164050000001</v>
      </c>
      <c r="H14" s="511">
        <f t="shared" si="0"/>
        <v>-0.1195</v>
      </c>
    </row>
    <row r="15" spans="1:10" s="35" customFormat="1" ht="18" customHeight="1">
      <c r="A15" s="183"/>
      <c r="B15" s="1069" t="s">
        <v>477</v>
      </c>
      <c r="C15" s="29" t="s">
        <v>911</v>
      </c>
      <c r="D15" s="866">
        <v>630</v>
      </c>
      <c r="E15" s="866">
        <f>'Table 5C1I-LA Key Academy'!C76+'Table 5C1J-Jefferson Chamber'!C76+'Table 5C1K-Tallulah Charter'!C76+'Table 5C1L-Northshore Charter'!C76+'Table 5C1M-EBR Charter'!C76+'Table 5C1N-Delta Charter'!C76</f>
        <v>1644</v>
      </c>
      <c r="F15" s="867"/>
      <c r="G15" s="139">
        <f t="shared" si="1"/>
        <v>1014</v>
      </c>
      <c r="H15" s="511">
        <f t="shared" si="0"/>
        <v>1.6094999999999999</v>
      </c>
    </row>
    <row r="16" spans="1:10" s="35" customFormat="1" ht="18" customHeight="1">
      <c r="A16" s="183"/>
      <c r="B16" s="1069" t="s">
        <v>478</v>
      </c>
      <c r="C16" s="29" t="s">
        <v>398</v>
      </c>
      <c r="D16" s="866">
        <v>294.99442900000003</v>
      </c>
      <c r="E16" s="866">
        <v>275</v>
      </c>
      <c r="F16" s="867"/>
      <c r="G16" s="139">
        <f t="shared" si="1"/>
        <v>-19.994429000000025</v>
      </c>
      <c r="H16" s="511">
        <f t="shared" si="0"/>
        <v>-6.7799999999999999E-2</v>
      </c>
    </row>
    <row r="17" spans="1:8" s="35" customFormat="1" ht="18" customHeight="1">
      <c r="A17" s="183"/>
      <c r="B17" s="1069" t="s">
        <v>479</v>
      </c>
      <c r="C17" s="29" t="s">
        <v>399</v>
      </c>
      <c r="D17" s="866">
        <v>112</v>
      </c>
      <c r="E17" s="866">
        <v>114</v>
      </c>
      <c r="F17" s="867"/>
      <c r="G17" s="139">
        <f t="shared" si="1"/>
        <v>2</v>
      </c>
      <c r="H17" s="511">
        <f t="shared" si="0"/>
        <v>1.7899999999999999E-2</v>
      </c>
    </row>
    <row r="18" spans="1:8" s="35" customFormat="1" ht="18" customHeight="1">
      <c r="A18" s="183"/>
      <c r="B18" s="1420" t="s">
        <v>928</v>
      </c>
      <c r="C18" s="1421" t="s">
        <v>929</v>
      </c>
      <c r="D18" s="1418"/>
      <c r="E18" s="1418">
        <f>'Table 5D- Legacy Type 2'!C18</f>
        <v>4306</v>
      </c>
      <c r="F18" s="1419"/>
      <c r="G18" s="139">
        <f t="shared" si="1"/>
        <v>4306</v>
      </c>
      <c r="H18" s="511"/>
    </row>
    <row r="19" spans="1:8" s="35" customFormat="1" ht="18" customHeight="1">
      <c r="A19" s="183"/>
      <c r="B19" s="1069" t="s">
        <v>930</v>
      </c>
      <c r="C19" s="29" t="s">
        <v>380</v>
      </c>
      <c r="D19" s="1070">
        <v>679802.69352299999</v>
      </c>
      <c r="E19" s="1070">
        <f>SUM(E12:E18)</f>
        <v>682287.58268899994</v>
      </c>
      <c r="F19" s="1071"/>
      <c r="G19" s="205">
        <f t="shared" si="1"/>
        <v>2484.8891659999499</v>
      </c>
      <c r="H19" s="511">
        <f t="shared" si="0"/>
        <v>3.7000000000000002E-3</v>
      </c>
    </row>
    <row r="20" spans="1:8" s="35" customFormat="1" ht="18.75" customHeight="1">
      <c r="A20" s="183"/>
      <c r="B20" s="209" t="s">
        <v>161</v>
      </c>
      <c r="C20" s="29" t="s">
        <v>582</v>
      </c>
      <c r="D20" s="866">
        <v>101295</v>
      </c>
      <c r="E20" s="866">
        <f>'Table 3 Levels 1&amp;2'!E77</f>
        <v>100693</v>
      </c>
      <c r="F20" s="867"/>
      <c r="G20" s="139">
        <f t="shared" si="1"/>
        <v>-602</v>
      </c>
      <c r="H20" s="512">
        <f t="shared" si="0"/>
        <v>-5.8999999999999999E-3</v>
      </c>
    </row>
    <row r="21" spans="1:8" s="35" customFormat="1" ht="18.75" customHeight="1">
      <c r="A21" s="183"/>
      <c r="B21" s="30" t="s">
        <v>162</v>
      </c>
      <c r="C21" s="29" t="s">
        <v>579</v>
      </c>
      <c r="D21" s="866">
        <v>12888</v>
      </c>
      <c r="E21" s="866">
        <f>'Table 3 Levels 1&amp;2'!G77</f>
        <v>13368</v>
      </c>
      <c r="F21" s="867"/>
      <c r="G21" s="139">
        <f t="shared" si="1"/>
        <v>480</v>
      </c>
      <c r="H21" s="511">
        <f t="shared" si="0"/>
        <v>3.7199999999999997E-2</v>
      </c>
    </row>
    <row r="22" spans="1:8" s="35" customFormat="1" ht="18.75" customHeight="1">
      <c r="A22" s="183"/>
      <c r="B22" s="30" t="s">
        <v>163</v>
      </c>
      <c r="C22" s="29" t="s">
        <v>599</v>
      </c>
      <c r="D22" s="866">
        <v>123582</v>
      </c>
      <c r="E22" s="866">
        <f>'Table 3 Levels 1&amp;2'!I77</f>
        <v>121906.5</v>
      </c>
      <c r="F22" s="867"/>
      <c r="G22" s="139">
        <f t="shared" si="1"/>
        <v>-1675.5</v>
      </c>
      <c r="H22" s="511">
        <f t="shared" si="0"/>
        <v>-1.3599999999999999E-2</v>
      </c>
    </row>
    <row r="23" spans="1:8" s="35" customFormat="1" ht="18.75" customHeight="1">
      <c r="A23" s="183"/>
      <c r="B23" s="30" t="s">
        <v>164</v>
      </c>
      <c r="C23" s="29" t="s">
        <v>580</v>
      </c>
      <c r="D23" s="866">
        <v>17047</v>
      </c>
      <c r="E23" s="866">
        <f>'Table 3 Levels 1&amp;2'!K77</f>
        <v>17447.400000000005</v>
      </c>
      <c r="F23" s="867"/>
      <c r="G23" s="139">
        <f t="shared" si="1"/>
        <v>400.40000000000509</v>
      </c>
      <c r="H23" s="511">
        <f t="shared" si="0"/>
        <v>2.35E-2</v>
      </c>
    </row>
    <row r="24" spans="1:8" s="35" customFormat="1" ht="16.5" thickBot="1">
      <c r="A24" s="184"/>
      <c r="B24" s="1267" t="s">
        <v>165</v>
      </c>
      <c r="C24" s="868" t="s">
        <v>177</v>
      </c>
      <c r="D24" s="869">
        <v>13241</v>
      </c>
      <c r="E24" s="869">
        <f>'Table 3 Levels 1&amp;2'!N77</f>
        <v>13225</v>
      </c>
      <c r="F24" s="870"/>
      <c r="G24" s="871">
        <f t="shared" si="1"/>
        <v>-16</v>
      </c>
      <c r="H24" s="515">
        <f t="shared" si="0"/>
        <v>-1.1999999999999999E-3</v>
      </c>
    </row>
    <row r="25" spans="1:8" s="35" customFormat="1" ht="15.75">
      <c r="A25" s="183" t="s">
        <v>170</v>
      </c>
      <c r="B25" s="27" t="s">
        <v>166</v>
      </c>
      <c r="C25" s="32"/>
      <c r="D25" s="891">
        <v>3642523965</v>
      </c>
      <c r="E25" s="891">
        <f>'Table 3 Levels 1&amp;2'!R77</f>
        <v>3625812169</v>
      </c>
      <c r="F25" s="892"/>
      <c r="G25" s="28">
        <f t="shared" ref="G25:G37" si="2">E25-D25</f>
        <v>-16711796</v>
      </c>
      <c r="H25" s="511">
        <f t="shared" ref="H25:H37" si="3">ROUND((E25/D25)-1,4)</f>
        <v>-4.5999999999999999E-3</v>
      </c>
    </row>
    <row r="26" spans="1:8" s="35" customFormat="1" ht="21.75" customHeight="1">
      <c r="A26" s="183"/>
      <c r="B26" s="83" t="s">
        <v>160</v>
      </c>
      <c r="C26" s="84" t="s">
        <v>600</v>
      </c>
      <c r="D26" s="893">
        <v>2367547410</v>
      </c>
      <c r="E26" s="893">
        <f>'Table 3 Levels 1&amp;2'!U77</f>
        <v>2356737142.75</v>
      </c>
      <c r="F26" s="894"/>
      <c r="G26" s="85">
        <f t="shared" si="2"/>
        <v>-10810267.25</v>
      </c>
      <c r="H26" s="514">
        <f t="shared" si="3"/>
        <v>-4.5999999999999999E-3</v>
      </c>
    </row>
    <row r="27" spans="1:8" s="35" customFormat="1" ht="18.75" customHeight="1" thickBot="1">
      <c r="A27" s="184"/>
      <c r="B27" s="52" t="s">
        <v>161</v>
      </c>
      <c r="C27" s="53" t="s">
        <v>601</v>
      </c>
      <c r="D27" s="895">
        <v>1274976555</v>
      </c>
      <c r="E27" s="895">
        <f>'Table 3 Levels 1&amp;2'!T77</f>
        <v>1269075026.25</v>
      </c>
      <c r="F27" s="896"/>
      <c r="G27" s="54">
        <f t="shared" si="2"/>
        <v>-5901528.75</v>
      </c>
      <c r="H27" s="513">
        <f t="shared" si="3"/>
        <v>-4.5999999999999999E-3</v>
      </c>
    </row>
    <row r="28" spans="1:8" s="35" customFormat="1" ht="18.75" customHeight="1">
      <c r="A28" s="185" t="s">
        <v>171</v>
      </c>
      <c r="B28" s="27" t="s">
        <v>178</v>
      </c>
      <c r="C28" s="72"/>
      <c r="D28" s="891">
        <v>2990718502.5</v>
      </c>
      <c r="E28" s="891">
        <f>'Table 7 Local Revenue'!AQ77</f>
        <v>3078646125.5</v>
      </c>
      <c r="F28" s="892"/>
      <c r="G28" s="28">
        <f t="shared" si="2"/>
        <v>87927623</v>
      </c>
      <c r="H28" s="511">
        <f t="shared" si="3"/>
        <v>2.9399999999999999E-2</v>
      </c>
    </row>
    <row r="29" spans="1:8" s="35" customFormat="1" ht="19.5" customHeight="1">
      <c r="A29" s="183"/>
      <c r="B29" s="33" t="s">
        <v>160</v>
      </c>
      <c r="C29" s="27" t="s">
        <v>226</v>
      </c>
      <c r="D29" s="897">
        <v>32368249012.300007</v>
      </c>
      <c r="E29" s="897">
        <f>'Table 7 Local Revenue'!H77</f>
        <v>33628503076.299995</v>
      </c>
      <c r="F29" s="898"/>
      <c r="G29" s="28">
        <f t="shared" si="2"/>
        <v>1260254063.9999886</v>
      </c>
      <c r="H29" s="511">
        <f t="shared" si="3"/>
        <v>3.8899999999999997E-2</v>
      </c>
    </row>
    <row r="30" spans="1:8" s="35" customFormat="1" ht="18.75" customHeight="1">
      <c r="A30" s="183"/>
      <c r="B30" s="33" t="s">
        <v>161</v>
      </c>
      <c r="C30" s="27" t="s">
        <v>227</v>
      </c>
      <c r="D30" s="897">
        <v>81720840432.400009</v>
      </c>
      <c r="E30" s="897">
        <f>'Table 7 Local Revenue'!AM77</f>
        <v>83696655339.525009</v>
      </c>
      <c r="F30" s="898"/>
      <c r="G30" s="28">
        <f t="shared" si="2"/>
        <v>1975814907.125</v>
      </c>
      <c r="H30" s="511">
        <f t="shared" si="3"/>
        <v>2.4199999999999999E-2</v>
      </c>
    </row>
    <row r="31" spans="1:8" s="35" customFormat="1" ht="18.75" customHeight="1">
      <c r="A31" s="183"/>
      <c r="B31" s="33" t="s">
        <v>162</v>
      </c>
      <c r="C31" s="27" t="s">
        <v>179</v>
      </c>
      <c r="D31" s="872" t="s">
        <v>543</v>
      </c>
      <c r="E31" s="872" t="s">
        <v>914</v>
      </c>
      <c r="F31" s="899"/>
      <c r="G31" s="137"/>
      <c r="H31" s="511"/>
    </row>
    <row r="32" spans="1:8" s="35" customFormat="1" ht="15.75">
      <c r="A32" s="183"/>
      <c r="B32" s="33" t="s">
        <v>163</v>
      </c>
      <c r="C32" s="27" t="s">
        <v>180</v>
      </c>
      <c r="D32" s="873" t="s">
        <v>544</v>
      </c>
      <c r="E32" s="873" t="s">
        <v>915</v>
      </c>
      <c r="F32" s="900"/>
      <c r="G32" s="136"/>
      <c r="H32" s="511"/>
    </row>
    <row r="33" spans="1:11" s="35" customFormat="1" ht="15.75">
      <c r="A33" s="183"/>
      <c r="B33" s="33" t="s">
        <v>164</v>
      </c>
      <c r="C33" s="27" t="s">
        <v>181</v>
      </c>
      <c r="D33" s="897">
        <v>1308298117</v>
      </c>
      <c r="E33" s="897">
        <f>'Table 7 Local Revenue'!AE77</f>
        <v>1371935890</v>
      </c>
      <c r="F33" s="898"/>
      <c r="G33" s="28">
        <f t="shared" si="2"/>
        <v>63637773</v>
      </c>
      <c r="H33" s="511">
        <f t="shared" si="3"/>
        <v>4.8599999999999997E-2</v>
      </c>
    </row>
    <row r="34" spans="1:11" s="35" customFormat="1" ht="18.75" customHeight="1">
      <c r="A34" s="183"/>
      <c r="B34" s="33" t="s">
        <v>165</v>
      </c>
      <c r="C34" s="27" t="s">
        <v>182</v>
      </c>
      <c r="D34" s="897">
        <v>1644278388</v>
      </c>
      <c r="E34" s="897">
        <f>'Table 7 Local Revenue'!AI77</f>
        <v>1669272600</v>
      </c>
      <c r="F34" s="898"/>
      <c r="G34" s="28">
        <f t="shared" si="2"/>
        <v>24994212</v>
      </c>
      <c r="H34" s="511">
        <f t="shared" si="3"/>
        <v>1.52E-2</v>
      </c>
    </row>
    <row r="35" spans="1:11" s="35" customFormat="1" ht="18.75" customHeight="1" thickBot="1">
      <c r="A35" s="184"/>
      <c r="B35" s="55" t="s">
        <v>183</v>
      </c>
      <c r="C35" s="56" t="s">
        <v>184</v>
      </c>
      <c r="D35" s="895">
        <v>38141997.5</v>
      </c>
      <c r="E35" s="895">
        <f>'Table 7 Local Revenue'!AP77</f>
        <v>37437635.5</v>
      </c>
      <c r="F35" s="896"/>
      <c r="G35" s="57">
        <f t="shared" si="2"/>
        <v>-704362</v>
      </c>
      <c r="H35" s="515">
        <f t="shared" si="3"/>
        <v>-1.8499999999999999E-2</v>
      </c>
    </row>
    <row r="36" spans="1:11" s="35" customFormat="1" ht="18.75" customHeight="1">
      <c r="A36" s="183" t="s">
        <v>172</v>
      </c>
      <c r="B36" s="31" t="s">
        <v>167</v>
      </c>
      <c r="C36" s="27"/>
      <c r="D36" s="891">
        <v>1098298863.3000002</v>
      </c>
      <c r="E36" s="891">
        <f>'Table 3 Levels 1&amp;2'!AC77</f>
        <v>1119541066.3200002</v>
      </c>
      <c r="F36" s="892"/>
      <c r="G36" s="28">
        <f t="shared" si="2"/>
        <v>21242203.019999981</v>
      </c>
      <c r="H36" s="511">
        <f t="shared" si="3"/>
        <v>1.9300000000000001E-2</v>
      </c>
    </row>
    <row r="37" spans="1:11" s="35" customFormat="1" ht="23.25" customHeight="1" thickBot="1">
      <c r="A37" s="186"/>
      <c r="B37" s="83" t="s">
        <v>160</v>
      </c>
      <c r="C37" s="86" t="s">
        <v>228</v>
      </c>
      <c r="D37" s="901">
        <v>415212961.69691807</v>
      </c>
      <c r="E37" s="901">
        <f>'Table 3 Levels 1&amp;2'!AE77</f>
        <v>430268294.70514941</v>
      </c>
      <c r="F37" s="902"/>
      <c r="G37" s="85">
        <f t="shared" si="2"/>
        <v>15055333.008231342</v>
      </c>
      <c r="H37" s="514">
        <f t="shared" si="3"/>
        <v>3.6299999999999999E-2</v>
      </c>
    </row>
    <row r="38" spans="1:11" s="35" customFormat="1" ht="18.75" customHeight="1" thickBot="1">
      <c r="A38" s="187" t="s">
        <v>199</v>
      </c>
      <c r="B38" s="87" t="s">
        <v>727</v>
      </c>
      <c r="C38" s="88"/>
      <c r="D38" s="903">
        <v>2782760371.696918</v>
      </c>
      <c r="E38" s="903">
        <f>E26+E37</f>
        <v>2787005437.4551497</v>
      </c>
      <c r="F38" s="904"/>
      <c r="G38" s="89">
        <f>E38-D38</f>
        <v>4245065.7582316399</v>
      </c>
      <c r="H38" s="516">
        <f>ROUND((E38/D38)-1,4)</f>
        <v>1.5E-3</v>
      </c>
    </row>
    <row r="39" spans="1:11" s="35" customFormat="1" ht="27.75" customHeight="1">
      <c r="A39" s="188" t="s">
        <v>173</v>
      </c>
      <c r="B39" s="1549" t="s">
        <v>581</v>
      </c>
      <c r="C39" s="1550"/>
      <c r="D39" s="905">
        <f>SUM(D40:D43)</f>
        <v>622165098.84266078</v>
      </c>
      <c r="E39" s="905">
        <f>E40+E41+E42+E43</f>
        <v>623185581.67210746</v>
      </c>
      <c r="F39" s="906"/>
      <c r="G39" s="460">
        <f>E39-D39</f>
        <v>1020482.8294466734</v>
      </c>
      <c r="H39" s="517">
        <f>ROUND((E39/D39)-1,4)</f>
        <v>1.6000000000000001E-3</v>
      </c>
    </row>
    <row r="40" spans="1:11" s="35" customFormat="1" ht="27" customHeight="1">
      <c r="A40" s="189"/>
      <c r="B40" s="287" t="s">
        <v>160</v>
      </c>
      <c r="C40" s="166" t="s">
        <v>369</v>
      </c>
      <c r="D40" s="907">
        <v>477048859.84266078</v>
      </c>
      <c r="E40" s="907">
        <f>+'Table 4 Level 3'!Q75</f>
        <v>474761850.67210752</v>
      </c>
      <c r="F40" s="908"/>
      <c r="G40" s="79">
        <f>E40-D40</f>
        <v>-2287009.170553267</v>
      </c>
      <c r="H40" s="518">
        <f>ROUND((E40/D40)-1,4)</f>
        <v>-4.7999999999999996E-3</v>
      </c>
    </row>
    <row r="41" spans="1:11" s="35" customFormat="1" ht="27" customHeight="1">
      <c r="A41" s="189"/>
      <c r="B41" s="287" t="s">
        <v>161</v>
      </c>
      <c r="C41" s="202" t="s">
        <v>31</v>
      </c>
      <c r="D41" s="1354">
        <v>4360000</v>
      </c>
      <c r="E41" s="1354">
        <f>'Table 4 Level 3'!L75</f>
        <v>4240000</v>
      </c>
      <c r="F41" s="1355"/>
      <c r="G41" s="79">
        <f>E41-D41</f>
        <v>-120000</v>
      </c>
      <c r="H41" s="518"/>
    </row>
    <row r="42" spans="1:11" s="35" customFormat="1" ht="18" customHeight="1">
      <c r="A42" s="189"/>
      <c r="B42" s="287" t="s">
        <v>162</v>
      </c>
      <c r="C42" s="202" t="s">
        <v>194</v>
      </c>
      <c r="D42" s="909">
        <v>67683000</v>
      </c>
      <c r="E42" s="909">
        <f>'Table 4 Level 3'!N75</f>
        <v>67390800</v>
      </c>
      <c r="F42" s="910"/>
      <c r="G42" s="204">
        <f t="shared" ref="G42:G47" si="4">E42-D42</f>
        <v>-292200</v>
      </c>
      <c r="H42" s="518">
        <f t="shared" ref="H42:H80" si="5">ROUND((E42/D42)-1,4)</f>
        <v>-4.3E-3</v>
      </c>
    </row>
    <row r="43" spans="1:11" s="35" customFormat="1" ht="18" customHeight="1">
      <c r="A43" s="189"/>
      <c r="B43" s="287" t="s">
        <v>163</v>
      </c>
      <c r="C43" s="202" t="s">
        <v>219</v>
      </c>
      <c r="D43" s="911">
        <v>73073239</v>
      </c>
      <c r="E43" s="911">
        <f>SUM(E44:E47)</f>
        <v>76792931</v>
      </c>
      <c r="F43" s="912"/>
      <c r="G43" s="204">
        <f t="shared" si="4"/>
        <v>3719692</v>
      </c>
      <c r="H43" s="518">
        <f t="shared" si="5"/>
        <v>5.0900000000000001E-2</v>
      </c>
    </row>
    <row r="44" spans="1:11" s="35" customFormat="1" ht="18" customHeight="1">
      <c r="A44" s="189"/>
      <c r="B44" s="458"/>
      <c r="C44" s="528" t="s">
        <v>278</v>
      </c>
      <c r="D44" s="913">
        <v>38336714</v>
      </c>
      <c r="E44" s="913">
        <f>'Table 4 Level 3'!D75</f>
        <v>38336714</v>
      </c>
      <c r="F44" s="914"/>
      <c r="G44" s="529">
        <f t="shared" si="4"/>
        <v>0</v>
      </c>
      <c r="H44" s="530">
        <f t="shared" si="5"/>
        <v>0</v>
      </c>
    </row>
    <row r="45" spans="1:11" s="35" customFormat="1" ht="18" customHeight="1">
      <c r="A45" s="189"/>
      <c r="B45" s="458"/>
      <c r="C45" s="528" t="s">
        <v>279</v>
      </c>
      <c r="D45" s="915">
        <v>38456219</v>
      </c>
      <c r="E45" s="915">
        <f>'Table 4 Level 3'!E75</f>
        <v>38456219</v>
      </c>
      <c r="F45" s="916"/>
      <c r="G45" s="529">
        <f t="shared" si="4"/>
        <v>0</v>
      </c>
      <c r="H45" s="530">
        <f t="shared" si="5"/>
        <v>0</v>
      </c>
      <c r="K45" s="707"/>
    </row>
    <row r="46" spans="1:11" s="35" customFormat="1" ht="26.25" customHeight="1">
      <c r="A46" s="189"/>
      <c r="B46" s="458"/>
      <c r="C46" s="533" t="s">
        <v>422</v>
      </c>
      <c r="D46" s="915">
        <v>-23577426</v>
      </c>
      <c r="E46" s="915">
        <f>'Table 4 Level 3'!F75+'Table 4 Level 3'!H75</f>
        <v>-27297127</v>
      </c>
      <c r="F46" s="916"/>
      <c r="G46" s="534">
        <f t="shared" si="4"/>
        <v>-3719701</v>
      </c>
      <c r="H46" s="535">
        <f t="shared" si="5"/>
        <v>0.1578</v>
      </c>
      <c r="K46" s="707"/>
    </row>
    <row r="47" spans="1:11" s="35" customFormat="1" ht="18" customHeight="1" thickBot="1">
      <c r="A47" s="189"/>
      <c r="B47" s="457"/>
      <c r="C47" s="202" t="s">
        <v>280</v>
      </c>
      <c r="D47" s="1268">
        <v>19857732</v>
      </c>
      <c r="E47" s="1268">
        <f>'Table 4 Level 3'!J75</f>
        <v>27297125</v>
      </c>
      <c r="F47" s="1269"/>
      <c r="G47" s="203">
        <f t="shared" si="4"/>
        <v>7439393</v>
      </c>
      <c r="H47" s="518">
        <f t="shared" si="5"/>
        <v>0.37459999999999999</v>
      </c>
    </row>
    <row r="48" spans="1:11" s="35" customFormat="1" ht="17.25" customHeight="1">
      <c r="A48" s="727" t="s">
        <v>748</v>
      </c>
      <c r="B48" s="348" t="s">
        <v>749</v>
      </c>
      <c r="C48" s="349"/>
      <c r="D48" s="917">
        <f>D39+D38</f>
        <v>3404925470.5395789</v>
      </c>
      <c r="E48" s="917">
        <f>E38+E39</f>
        <v>3410191019.1272573</v>
      </c>
      <c r="F48" s="918"/>
      <c r="G48" s="725">
        <f t="shared" ref="G48:G49" si="6">E48-D48</f>
        <v>5265548.5876784325</v>
      </c>
      <c r="H48" s="726">
        <f t="shared" si="5"/>
        <v>1.5E-3</v>
      </c>
    </row>
    <row r="49" spans="1:8" s="35" customFormat="1" ht="16.5" thickBot="1">
      <c r="A49" s="190"/>
      <c r="B49" s="90"/>
      <c r="C49" s="91" t="s">
        <v>224</v>
      </c>
      <c r="D49" s="878">
        <v>5030.6952566221626</v>
      </c>
      <c r="E49" s="878">
        <f>'Table 3 Levels 1&amp;2'!AP77</f>
        <v>5060.3213185290233</v>
      </c>
      <c r="F49" s="879"/>
      <c r="G49" s="335">
        <f t="shared" si="6"/>
        <v>29.626061906860741</v>
      </c>
      <c r="H49" s="519">
        <f t="shared" si="5"/>
        <v>5.8999999999999999E-3</v>
      </c>
    </row>
    <row r="50" spans="1:8" s="35" customFormat="1" ht="15.75">
      <c r="A50" s="194" t="s">
        <v>63</v>
      </c>
      <c r="B50" s="1551" t="s">
        <v>391</v>
      </c>
      <c r="C50" s="1551"/>
      <c r="D50" s="1248"/>
      <c r="E50" s="1249"/>
      <c r="F50" s="1250"/>
      <c r="G50" s="172"/>
      <c r="H50" s="520"/>
    </row>
    <row r="51" spans="1:8" s="35" customFormat="1" ht="17.25" customHeight="1">
      <c r="A51" s="191"/>
      <c r="B51" s="171" t="s">
        <v>201</v>
      </c>
      <c r="C51" s="84"/>
      <c r="D51" s="85">
        <v>8039438.7114330698</v>
      </c>
      <c r="E51" s="876">
        <f>E53+E52</f>
        <v>8804529.524108069</v>
      </c>
      <c r="F51" s="877"/>
      <c r="G51" s="85">
        <f t="shared" ref="G51:G72" si="7">E51-D51</f>
        <v>765090.81267499924</v>
      </c>
      <c r="H51" s="514">
        <f t="shared" si="5"/>
        <v>9.5200000000000007E-2</v>
      </c>
    </row>
    <row r="52" spans="1:8" s="35" customFormat="1" ht="19.5" customHeight="1">
      <c r="A52" s="192"/>
      <c r="B52" s="446" t="s">
        <v>160</v>
      </c>
      <c r="C52" s="447" t="s">
        <v>388</v>
      </c>
      <c r="D52" s="448">
        <v>6702549.7560223052</v>
      </c>
      <c r="E52" s="880">
        <f>'Table 5A Labs, NOCCA,LSMSA'!G8</f>
        <v>6827673.2776208175</v>
      </c>
      <c r="F52" s="881"/>
      <c r="G52" s="448">
        <f t="shared" si="7"/>
        <v>125123.52159851231</v>
      </c>
      <c r="H52" s="521">
        <f t="shared" si="5"/>
        <v>1.8700000000000001E-2</v>
      </c>
    </row>
    <row r="53" spans="1:8" s="35" customFormat="1" ht="15.75">
      <c r="A53" s="192"/>
      <c r="B53" s="177" t="s">
        <v>161</v>
      </c>
      <c r="C53" s="170" t="s">
        <v>389</v>
      </c>
      <c r="D53" s="449">
        <v>1336888.9554107648</v>
      </c>
      <c r="E53" s="919">
        <f>'Table 5A Labs, NOCCA,LSMSA'!G9</f>
        <v>1976856.2464872522</v>
      </c>
      <c r="F53" s="929"/>
      <c r="G53" s="882">
        <f t="shared" si="7"/>
        <v>639967.2910764874</v>
      </c>
      <c r="H53" s="522">
        <f t="shared" si="5"/>
        <v>0.47870000000000001</v>
      </c>
    </row>
    <row r="54" spans="1:8" s="35" customFormat="1" ht="15.75">
      <c r="A54" s="194" t="s">
        <v>347</v>
      </c>
      <c r="B54" s="178" t="s">
        <v>77</v>
      </c>
      <c r="C54" s="173"/>
      <c r="D54" s="85">
        <v>139518605.8923862</v>
      </c>
      <c r="E54" s="920">
        <f>SUM(E55:E59)</f>
        <v>139045412.87759766</v>
      </c>
      <c r="F54" s="930"/>
      <c r="G54" s="883">
        <f t="shared" si="7"/>
        <v>-473193.01478853822</v>
      </c>
      <c r="H54" s="514">
        <f t="shared" si="5"/>
        <v>-3.3999999999999998E-3</v>
      </c>
    </row>
    <row r="55" spans="1:8" s="35" customFormat="1" ht="15.75">
      <c r="A55" s="192"/>
      <c r="B55" s="446" t="s">
        <v>160</v>
      </c>
      <c r="C55" s="447" t="s">
        <v>128</v>
      </c>
      <c r="D55" s="448">
        <v>120265434.00631183</v>
      </c>
      <c r="E55" s="874">
        <f>'Table 5B1_RSD_Orleans'!H70</f>
        <v>123394251.94473901</v>
      </c>
      <c r="F55" s="931"/>
      <c r="G55" s="875">
        <f t="shared" si="7"/>
        <v>3128817.9384271801</v>
      </c>
      <c r="H55" s="521">
        <f t="shared" si="5"/>
        <v>2.5999999999999999E-2</v>
      </c>
    </row>
    <row r="56" spans="1:8" s="35" customFormat="1" ht="15.75">
      <c r="A56" s="192"/>
      <c r="B56" s="450" t="s">
        <v>161</v>
      </c>
      <c r="C56" s="451" t="s">
        <v>109</v>
      </c>
      <c r="D56" s="452">
        <v>12606029.648745883</v>
      </c>
      <c r="E56" s="921">
        <f>'Table 5B2_RSD_LA'!H18</f>
        <v>9249495.699129818</v>
      </c>
      <c r="F56" s="932"/>
      <c r="G56" s="884">
        <f t="shared" si="7"/>
        <v>-3356533.9496160652</v>
      </c>
      <c r="H56" s="523">
        <f t="shared" si="5"/>
        <v>-0.26629999999999998</v>
      </c>
    </row>
    <row r="57" spans="1:8" s="35" customFormat="1" ht="15.75">
      <c r="A57" s="192"/>
      <c r="B57" s="450" t="s">
        <v>162</v>
      </c>
      <c r="C57" s="451" t="s">
        <v>131</v>
      </c>
      <c r="D57" s="452">
        <v>1237038.6373284906</v>
      </c>
      <c r="E57" s="921">
        <f>'Table 5B2_RSD_LA'!H23</f>
        <v>1020939.4737288136</v>
      </c>
      <c r="F57" s="932"/>
      <c r="G57" s="884">
        <f t="shared" si="7"/>
        <v>-216099.16359967703</v>
      </c>
      <c r="H57" s="523">
        <f t="shared" si="5"/>
        <v>-0.17469999999999999</v>
      </c>
    </row>
    <row r="58" spans="1:8" s="35" customFormat="1" ht="15.75">
      <c r="A58" s="192"/>
      <c r="B58" s="450" t="s">
        <v>163</v>
      </c>
      <c r="C58" s="451" t="s">
        <v>101</v>
      </c>
      <c r="D58" s="452">
        <v>3228424.44</v>
      </c>
      <c r="E58" s="921">
        <f>'Table 5B2_RSD_LA'!H30</f>
        <v>3366945.8</v>
      </c>
      <c r="F58" s="932"/>
      <c r="G58" s="884">
        <f t="shared" si="7"/>
        <v>138521.35999999987</v>
      </c>
      <c r="H58" s="523">
        <f t="shared" si="5"/>
        <v>4.2900000000000001E-2</v>
      </c>
    </row>
    <row r="59" spans="1:8" s="35" customFormat="1" ht="15.75">
      <c r="A59" s="192"/>
      <c r="B59" s="177" t="s">
        <v>164</v>
      </c>
      <c r="C59" s="170" t="s">
        <v>138</v>
      </c>
      <c r="D59" s="723">
        <v>2181679.16</v>
      </c>
      <c r="E59" s="922">
        <f>'Table 5B2_RSD_LA'!H35</f>
        <v>2013779.96</v>
      </c>
      <c r="F59" s="929"/>
      <c r="G59" s="885">
        <f t="shared" si="7"/>
        <v>-167899.20000000019</v>
      </c>
      <c r="H59" s="724">
        <f t="shared" si="5"/>
        <v>-7.6999999999999999E-2</v>
      </c>
    </row>
    <row r="60" spans="1:8" s="35" customFormat="1" ht="15.75">
      <c r="A60" s="194" t="s">
        <v>174</v>
      </c>
      <c r="B60" s="178" t="s">
        <v>420</v>
      </c>
      <c r="C60" s="173"/>
      <c r="D60" s="85">
        <v>16420619.42228598</v>
      </c>
      <c r="E60" s="923">
        <f>'Table 5C1A-Madison Prep'!H76+'Table 5C1B-DArbonne'!H77+'Table 5C1C-Intl_VIBE'!H76+'Table 5C1D-NOMMA'!H76+'Table 5C1E-LFNO'!H76+'Table 5C1F-Lake Charles Charter'!H76+'Table 5C2 - LA Virtual Admy'!H73+'Table 5C3 - LA Connections EBR'!H73+'Table 5C1G-JS Clark Academy'!H76+'Table 5C1H-Southwest LA Charter'!H76</f>
        <v>25581124.437763676</v>
      </c>
      <c r="F60" s="938"/>
      <c r="G60" s="883">
        <f t="shared" si="7"/>
        <v>9160505.0154776964</v>
      </c>
      <c r="H60" s="514">
        <f t="shared" si="5"/>
        <v>0.55789999999999995</v>
      </c>
    </row>
    <row r="61" spans="1:8" s="35" customFormat="1" ht="15.75">
      <c r="A61" s="194" t="s">
        <v>521</v>
      </c>
      <c r="B61" s="178" t="s">
        <v>418</v>
      </c>
      <c r="C61" s="173"/>
      <c r="D61" s="85">
        <v>3176086.9604448481</v>
      </c>
      <c r="E61" s="923">
        <f>'Table 5C1I-LA Key Academy'!H76+'Table 5C1J-Jefferson Chamber'!H76+'Table 5C1K-Tallulah Charter'!H76+'Table 5C1L-Northshore Charter'!H76+'Table 5C1M-EBR Charter'!H76+'Table 5C1N-Delta Charter'!H76</f>
        <v>8605242.3658612631</v>
      </c>
      <c r="F61" s="938"/>
      <c r="G61" s="883">
        <f t="shared" si="7"/>
        <v>5429155.4054164151</v>
      </c>
      <c r="H61" s="514">
        <f t="shared" si="5"/>
        <v>1.7094</v>
      </c>
    </row>
    <row r="62" spans="1:8" s="35" customFormat="1" ht="15.75">
      <c r="A62" s="194" t="s">
        <v>83</v>
      </c>
      <c r="B62" s="178" t="s">
        <v>348</v>
      </c>
      <c r="C62" s="173"/>
      <c r="D62" s="85">
        <v>2434331.2008444211</v>
      </c>
      <c r="E62" s="924">
        <f>'Table 5E_OJJ'!G76</f>
        <v>2176324.8475885335</v>
      </c>
      <c r="F62" s="938"/>
      <c r="G62" s="883">
        <f t="shared" si="7"/>
        <v>-258006.35325588752</v>
      </c>
      <c r="H62" s="514">
        <f t="shared" si="5"/>
        <v>-0.106</v>
      </c>
    </row>
    <row r="63" spans="1:8" s="35" customFormat="1" ht="15.75">
      <c r="A63" s="194" t="s">
        <v>85</v>
      </c>
      <c r="B63" s="178" t="s">
        <v>64</v>
      </c>
      <c r="C63" s="173"/>
      <c r="D63" s="85">
        <v>656000</v>
      </c>
      <c r="E63" s="924">
        <f>'Table 4A Stipends'!G77</f>
        <v>656000</v>
      </c>
      <c r="F63" s="938"/>
      <c r="G63" s="883">
        <f>E63-D63</f>
        <v>0</v>
      </c>
      <c r="H63" s="514">
        <f>ROUND((E63/D63)-1,4)</f>
        <v>0</v>
      </c>
    </row>
    <row r="64" spans="1:8" s="783" customFormat="1" ht="15.75">
      <c r="A64" s="1043" t="s">
        <v>85</v>
      </c>
      <c r="B64" s="1044" t="s">
        <v>423</v>
      </c>
      <c r="C64" s="1045"/>
      <c r="D64" s="1046">
        <v>23256254.492751442</v>
      </c>
      <c r="E64" s="1047">
        <f>'Table 5D- Legacy Type 2'!H18</f>
        <v>42533271</v>
      </c>
      <c r="F64" s="1048"/>
      <c r="G64" s="1049">
        <f t="shared" si="7"/>
        <v>19277016.507248558</v>
      </c>
      <c r="H64" s="1050">
        <f t="shared" si="5"/>
        <v>0.82889999999999997</v>
      </c>
    </row>
    <row r="65" spans="1:8" s="783" customFormat="1" ht="15.75">
      <c r="A65" s="1043" t="s">
        <v>281</v>
      </c>
      <c r="B65" s="1044" t="s">
        <v>397</v>
      </c>
      <c r="C65" s="1045"/>
      <c r="D65" s="1046">
        <v>992132.68253089651</v>
      </c>
      <c r="E65" s="1047">
        <f>'Table 5A Labs, NOCCA,LSMSA'!G19</f>
        <v>1391634.9147581414</v>
      </c>
      <c r="F65" s="1048"/>
      <c r="G65" s="1049">
        <f t="shared" si="7"/>
        <v>399502.23222724488</v>
      </c>
      <c r="H65" s="1050">
        <f t="shared" si="5"/>
        <v>0.4027</v>
      </c>
    </row>
    <row r="66" spans="1:8" s="783" customFormat="1" ht="16.5" thickBot="1">
      <c r="A66" s="1043" t="s">
        <v>286</v>
      </c>
      <c r="B66" s="1044" t="s">
        <v>400</v>
      </c>
      <c r="C66" s="1045"/>
      <c r="D66" s="1046">
        <v>291081.05824341497</v>
      </c>
      <c r="E66" s="1047">
        <f>'Table 5A Labs, NOCCA,LSMSA'!G20</f>
        <v>576895.92829973868</v>
      </c>
      <c r="F66" s="1048"/>
      <c r="G66" s="1049">
        <f t="shared" si="7"/>
        <v>285814.87005632371</v>
      </c>
      <c r="H66" s="1050">
        <f t="shared" si="5"/>
        <v>0.9819</v>
      </c>
    </row>
    <row r="67" spans="1:8" s="35" customFormat="1" ht="16.5" thickBot="1">
      <c r="A67" s="193" t="s">
        <v>417</v>
      </c>
      <c r="B67" s="98" t="s">
        <v>576</v>
      </c>
      <c r="C67" s="93"/>
      <c r="D67" s="92">
        <v>3615506048.185647</v>
      </c>
      <c r="E67" s="925">
        <f>E48+E51+E54+E60+E61+E62+E63+E64+E65+E66</f>
        <v>3639561455.0232348</v>
      </c>
      <c r="F67" s="933"/>
      <c r="G67" s="886">
        <f t="shared" si="7"/>
        <v>24055406.837587833</v>
      </c>
      <c r="H67" s="524">
        <f t="shared" si="5"/>
        <v>6.7000000000000002E-3</v>
      </c>
    </row>
    <row r="68" spans="1:8" s="35" customFormat="1" ht="23.25" customHeight="1">
      <c r="A68" s="194" t="s">
        <v>454</v>
      </c>
      <c r="B68" s="84" t="s">
        <v>84</v>
      </c>
      <c r="C68" s="84"/>
      <c r="D68" s="1053">
        <v>-195692933.62501273</v>
      </c>
      <c r="E68" s="920">
        <f>SUM(E69:F79)</f>
        <v>-177852999.81224328</v>
      </c>
      <c r="F68" s="930"/>
      <c r="G68" s="883">
        <f t="shared" si="7"/>
        <v>17839933.812769443</v>
      </c>
      <c r="H68" s="525">
        <f t="shared" si="5"/>
        <v>-9.1200000000000003E-2</v>
      </c>
    </row>
    <row r="69" spans="1:8" s="35" customFormat="1" ht="20.25" customHeight="1">
      <c r="A69" s="183"/>
      <c r="B69" s="33" t="s">
        <v>160</v>
      </c>
      <c r="C69" s="27" t="s">
        <v>383</v>
      </c>
      <c r="D69" s="1054">
        <v>-2944326.8587162076</v>
      </c>
      <c r="E69" s="926">
        <f>'Table 2_State Distrib and Adjs'!F76</f>
        <v>-2392245.0927018928</v>
      </c>
      <c r="F69" s="934"/>
      <c r="G69" s="887">
        <f t="shared" si="7"/>
        <v>552081.76601431472</v>
      </c>
      <c r="H69" s="511">
        <f t="shared" si="5"/>
        <v>-0.1875</v>
      </c>
    </row>
    <row r="70" spans="1:8" s="35" customFormat="1" ht="20.25" customHeight="1">
      <c r="A70" s="183"/>
      <c r="B70" s="198" t="s">
        <v>161</v>
      </c>
      <c r="C70" s="361" t="s">
        <v>255</v>
      </c>
      <c r="D70" s="1055">
        <v>-2510.7525593164992</v>
      </c>
      <c r="E70" s="926">
        <f>'Table 5A Labs, NOCCA,LSMSA'!H10</f>
        <v>2515.1664215795245</v>
      </c>
      <c r="F70" s="1121"/>
      <c r="G70" s="887">
        <f t="shared" si="7"/>
        <v>5025.9189808960236</v>
      </c>
      <c r="H70" s="511">
        <f t="shared" si="5"/>
        <v>-2.0017999999999998</v>
      </c>
    </row>
    <row r="71" spans="1:8" s="35" customFormat="1" ht="20.25" customHeight="1">
      <c r="A71" s="183"/>
      <c r="B71" s="198" t="s">
        <v>162</v>
      </c>
      <c r="C71" s="1051" t="s">
        <v>284</v>
      </c>
      <c r="D71" s="1056">
        <v>-988730.66145798902</v>
      </c>
      <c r="E71" s="926">
        <f>'Table 5B1_RSD_Orleans'!I70+'Table 5B2_RSD_LA'!M38</f>
        <v>-985057.11062668241</v>
      </c>
      <c r="F71" s="1121"/>
      <c r="G71" s="887">
        <f t="shared" si="7"/>
        <v>3673.5508313066093</v>
      </c>
      <c r="H71" s="511">
        <f t="shared" si="5"/>
        <v>-3.7000000000000002E-3</v>
      </c>
    </row>
    <row r="72" spans="1:8" s="35" customFormat="1" ht="20.25" customHeight="1">
      <c r="A72" s="183"/>
      <c r="B72" s="198" t="s">
        <v>163</v>
      </c>
      <c r="C72" s="1051" t="s">
        <v>424</v>
      </c>
      <c r="D72" s="1056">
        <v>-52028.625194067157</v>
      </c>
      <c r="E72" s="926">
        <f>'Table 5C1A-Madison Prep'!K76+'Table 5C1B-DArbonne'!K77+'Table 5C1C-Intl_VIBE'!K76+'Table 5C1D-NOMMA'!K76+'Table 5C1E-LFNO'!K76+'Table 5C1F-Lake Charles Charter'!K76+'Table 5C2 - LA Virtual Admy'!L73+'Table 5C3 - LA Connections EBR'!L73+'Table 5C1G-JS Clark Academy'!K76</f>
        <v>-45491.369847488859</v>
      </c>
      <c r="F72" s="1121"/>
      <c r="G72" s="887">
        <f t="shared" si="7"/>
        <v>6537.2553465782985</v>
      </c>
      <c r="H72" s="511">
        <f t="shared" si="5"/>
        <v>-0.12559999999999999</v>
      </c>
    </row>
    <row r="73" spans="1:8" s="35" customFormat="1" ht="20.25" customHeight="1">
      <c r="A73" s="183"/>
      <c r="B73" s="198" t="s">
        <v>164</v>
      </c>
      <c r="C73" s="1051" t="s">
        <v>935</v>
      </c>
      <c r="D73" s="1103"/>
      <c r="E73" s="919">
        <f>'Table 5D- Legacy Type 2'!K18</f>
        <v>-4508.0545995861094</v>
      </c>
      <c r="F73" s="1121"/>
      <c r="G73" s="887"/>
      <c r="H73" s="511"/>
    </row>
    <row r="74" spans="1:8" s="35" customFormat="1" ht="20.25" customHeight="1">
      <c r="A74" s="183"/>
      <c r="B74" s="198" t="s">
        <v>165</v>
      </c>
      <c r="C74" s="361" t="s">
        <v>488</v>
      </c>
      <c r="D74" s="1103">
        <v>-5928.4203465283663</v>
      </c>
      <c r="E74" s="919">
        <f>'Table 5E_OJJ'!I76</f>
        <v>0</v>
      </c>
      <c r="F74" s="935"/>
      <c r="G74" s="887"/>
      <c r="H74" s="511"/>
    </row>
    <row r="75" spans="1:8" s="35" customFormat="1" ht="20.25" customHeight="1">
      <c r="A75" s="183"/>
      <c r="B75" s="209" t="s">
        <v>183</v>
      </c>
      <c r="C75" s="1520" t="s">
        <v>285</v>
      </c>
      <c r="D75" s="1521">
        <v>0</v>
      </c>
      <c r="E75" s="1522">
        <v>0</v>
      </c>
      <c r="F75" s="936"/>
      <c r="G75" s="888">
        <f t="shared" ref="G75:G81" si="8">E75-D75</f>
        <v>0</v>
      </c>
      <c r="H75" s="511" t="e">
        <f t="shared" si="5"/>
        <v>#DIV/0!</v>
      </c>
    </row>
    <row r="76" spans="1:8" s="35" customFormat="1" ht="20.25" customHeight="1">
      <c r="A76" s="183"/>
      <c r="B76" s="1037" t="s">
        <v>416</v>
      </c>
      <c r="C76" s="1052" t="s">
        <v>462</v>
      </c>
      <c r="D76" s="1057"/>
      <c r="E76" s="927"/>
      <c r="F76" s="936"/>
      <c r="G76" s="888"/>
      <c r="H76" s="511"/>
    </row>
    <row r="77" spans="1:8" s="35" customFormat="1" ht="20.25" customHeight="1">
      <c r="A77" s="183"/>
      <c r="B77" s="177"/>
      <c r="C77" s="1058" t="s">
        <v>463</v>
      </c>
      <c r="D77" s="1059">
        <v>-139518605.89238623</v>
      </c>
      <c r="E77" s="1060">
        <f>'Table 2_State Distrib and Adjs'!I76</f>
        <v>-139045412.87759763</v>
      </c>
      <c r="F77" s="1061"/>
      <c r="G77" s="1062">
        <f t="shared" si="8"/>
        <v>473193.01478859782</v>
      </c>
      <c r="H77" s="1063">
        <f>ROUND((E77/D77)-1,4)</f>
        <v>-3.3999999999999998E-3</v>
      </c>
    </row>
    <row r="78" spans="1:8" s="35" customFormat="1" ht="20.25" customHeight="1">
      <c r="A78" s="183"/>
      <c r="B78" s="177"/>
      <c r="C78" s="1064" t="s">
        <v>464</v>
      </c>
      <c r="D78" s="1065">
        <v>-17354659.034030937</v>
      </c>
      <c r="E78" s="1125">
        <f>'Table 2_State Distrib and Adjs'!J76+'Table 2_State Distrib and Adjs'!K76+'Table 2_State Distrib and Adjs'!L76+'Table 2_State Distrib and Adjs'!M76+'Table 2_State Distrib and Adjs'!N76+'Table 2_State Distrib and Adjs'!O76+'Table 2_State Distrib and Adjs'!R76+'Table 2_State Distrib and Adjs'!S76+'Table 2_State Distrib and Adjs'!P76+'Table 2_State Distrib and Adjs'!Q76</f>
        <v>-26777558.107430313</v>
      </c>
      <c r="F78" s="1066"/>
      <c r="G78" s="1067">
        <f t="shared" si="8"/>
        <v>-9422899.0733993761</v>
      </c>
      <c r="H78" s="1068">
        <f t="shared" ref="H78" si="9">ROUND((E78/D78)-1,4)</f>
        <v>0.54300000000000004</v>
      </c>
    </row>
    <row r="79" spans="1:8" s="35" customFormat="1" ht="20.25" customHeight="1" thickBot="1">
      <c r="A79" s="183"/>
      <c r="B79" s="1251"/>
      <c r="C79" s="1252" t="s">
        <v>910</v>
      </c>
      <c r="D79" s="1055">
        <v>0</v>
      </c>
      <c r="E79" s="1240">
        <f>-E61</f>
        <v>-8605242.3658612631</v>
      </c>
      <c r="F79" s="1121"/>
      <c r="G79" s="1067">
        <f t="shared" si="8"/>
        <v>-8605242.3658612631</v>
      </c>
      <c r="H79" s="1241">
        <v>0</v>
      </c>
    </row>
    <row r="80" spans="1:8" s="35" customFormat="1" ht="23.25" customHeight="1" thickBot="1">
      <c r="A80" s="437" t="s">
        <v>455</v>
      </c>
      <c r="B80" s="1552" t="s">
        <v>577</v>
      </c>
      <c r="C80" s="1553"/>
      <c r="D80" s="438">
        <v>3419813114.5606341</v>
      </c>
      <c r="E80" s="928">
        <f>E67+E68</f>
        <v>3461708455.2109914</v>
      </c>
      <c r="F80" s="1008"/>
      <c r="G80" s="889">
        <f t="shared" si="8"/>
        <v>41895340.650357246</v>
      </c>
      <c r="H80" s="526">
        <f t="shared" si="5"/>
        <v>1.23E-2</v>
      </c>
    </row>
    <row r="81" spans="1:11" s="433" customFormat="1" ht="24" customHeight="1" thickBot="1">
      <c r="A81" s="531" t="s">
        <v>460</v>
      </c>
      <c r="B81" s="1554" t="s">
        <v>498</v>
      </c>
      <c r="C81" s="1555"/>
      <c r="D81" s="532">
        <v>3422265205</v>
      </c>
      <c r="E81" s="532">
        <v>3461265205</v>
      </c>
      <c r="F81" s="937"/>
      <c r="G81" s="1035">
        <f t="shared" si="8"/>
        <v>39000000</v>
      </c>
      <c r="H81" s="1036"/>
    </row>
    <row r="82" spans="1:11" s="35" customFormat="1" ht="18.75" customHeight="1" thickBot="1">
      <c r="A82" s="862" t="s">
        <v>461</v>
      </c>
      <c r="B82" s="39" t="s">
        <v>499</v>
      </c>
      <c r="C82" s="39"/>
      <c r="D82" s="40">
        <v>-2452090.4393658638</v>
      </c>
      <c r="E82" s="940">
        <f>E80-E81</f>
        <v>443250.2109913826</v>
      </c>
      <c r="F82" s="939"/>
      <c r="G82" s="890">
        <f>E82-D82</f>
        <v>2895340.6503572464</v>
      </c>
      <c r="H82" s="527"/>
    </row>
    <row r="83" spans="1:11" s="35" customFormat="1" ht="19.5" customHeight="1" thickTop="1">
      <c r="A83" s="946"/>
      <c r="B83" s="1546"/>
      <c r="C83" s="1546"/>
      <c r="D83" s="1546"/>
      <c r="E83" s="1546"/>
      <c r="F83" s="1546"/>
      <c r="G83" s="1546"/>
      <c r="H83" s="1546"/>
    </row>
    <row r="84" spans="1:11" ht="4.5" customHeight="1">
      <c r="A84" s="863"/>
      <c r="B84" s="863"/>
      <c r="C84" s="863"/>
      <c r="D84" s="206"/>
      <c r="E84" s="436"/>
      <c r="F84" s="436"/>
      <c r="J84" s="35"/>
    </row>
    <row r="85" spans="1:11" ht="17.25" customHeight="1">
      <c r="D85" s="59"/>
      <c r="E85" s="434">
        <f>'Table 3 Levels 1&amp;2'!V77</f>
        <v>0.65</v>
      </c>
      <c r="F85" s="434"/>
      <c r="G85" s="434">
        <f>'Table 3 Levels 1&amp;2'!W77</f>
        <v>0.35</v>
      </c>
      <c r="J85" s="707"/>
    </row>
    <row r="86" spans="1:11" s="426" customFormat="1" ht="17.25" customHeight="1">
      <c r="B86" s="427"/>
      <c r="C86" s="568"/>
      <c r="D86" s="59"/>
      <c r="E86" s="59"/>
      <c r="F86" s="59"/>
      <c r="G86"/>
      <c r="H86"/>
      <c r="I86"/>
      <c r="J86" s="433"/>
    </row>
    <row r="87" spans="1:11" s="426" customFormat="1" ht="17.25" customHeight="1">
      <c r="A87"/>
      <c r="B87"/>
      <c r="C87" s="210"/>
      <c r="D87" s="59"/>
      <c r="E87"/>
      <c r="F87"/>
      <c r="G87"/>
      <c r="H87"/>
      <c r="I87"/>
      <c r="J87" s="1858"/>
      <c r="K87"/>
    </row>
    <row r="88" spans="1:11" ht="17.25" customHeight="1">
      <c r="B88" s="706"/>
      <c r="C88" s="1196"/>
      <c r="D88" s="59"/>
      <c r="E88" s="2"/>
      <c r="F88" s="2"/>
      <c r="J88" s="707"/>
    </row>
    <row r="89" spans="1:11" ht="17.25" customHeight="1">
      <c r="C89" s="1197"/>
      <c r="D89" s="707"/>
      <c r="E89" s="2"/>
      <c r="F89" s="2"/>
      <c r="J89" s="707"/>
    </row>
    <row r="90" spans="1:11" ht="17.25" customHeight="1">
      <c r="C90" s="1198"/>
      <c r="D90" s="59"/>
      <c r="E90" s="1199"/>
      <c r="F90" s="1199"/>
      <c r="G90" s="1199"/>
      <c r="H90" s="1199"/>
      <c r="J90" s="707"/>
    </row>
    <row r="91" spans="1:11" ht="10.5" customHeight="1">
      <c r="C91" s="49"/>
      <c r="E91" s="1199"/>
      <c r="F91" s="1199"/>
      <c r="G91" s="1199"/>
      <c r="H91" s="1199"/>
      <c r="J91" s="707"/>
      <c r="K91" s="2"/>
    </row>
    <row r="92" spans="1:11">
      <c r="C92" s="1859"/>
      <c r="D92" s="59"/>
      <c r="E92" s="208"/>
      <c r="F92" s="208"/>
      <c r="J92" s="707"/>
    </row>
    <row r="93" spans="1:11">
      <c r="C93" s="1859"/>
      <c r="D93" s="59"/>
      <c r="E93" s="49"/>
      <c r="F93" s="49"/>
      <c r="J93" s="35"/>
    </row>
    <row r="94" spans="1:11">
      <c r="C94" s="1859"/>
      <c r="D94" s="59"/>
      <c r="E94" s="49"/>
      <c r="F94" s="49"/>
      <c r="J94" s="35"/>
    </row>
    <row r="95" spans="1:11">
      <c r="C95" s="1859"/>
      <c r="E95" s="49"/>
      <c r="F95" s="49"/>
      <c r="J95" s="35"/>
    </row>
    <row r="96" spans="1:11">
      <c r="C96" s="1859"/>
      <c r="G96" s="75"/>
    </row>
  </sheetData>
  <mergeCells count="13">
    <mergeCell ref="B83:H83"/>
    <mergeCell ref="B10:C10"/>
    <mergeCell ref="B39:C39"/>
    <mergeCell ref="B50:C50"/>
    <mergeCell ref="B80:C80"/>
    <mergeCell ref="B81:C81"/>
    <mergeCell ref="A2:H2"/>
    <mergeCell ref="A3:H3"/>
    <mergeCell ref="A4:H4"/>
    <mergeCell ref="D5:D8"/>
    <mergeCell ref="G5:G8"/>
    <mergeCell ref="H5:H8"/>
    <mergeCell ref="E5:F8"/>
  </mergeCells>
  <printOptions horizontalCentered="1"/>
  <pageMargins left="0.25" right="0.25" top="0.19" bottom="0.16" header="0.17" footer="0.16"/>
  <pageSetup paperSize="5" scale="70" orientation="portrait" useFirstPageNumber="1" r:id="rId1"/>
  <headerFooter alignWithMargins="0">
    <oddFooter>&amp;R&amp;12&amp;P</oddFooter>
  </headerFooter>
  <rowBreaks count="1" manualBreakCount="1">
    <brk id="67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view="pageBreakPreview" zoomScale="70" zoomScaleNormal="75" zoomScaleSheetLayoutView="70" workbookViewId="0">
      <pane xSplit="2" ySplit="6" topLeftCell="T7" activePane="bottomRight" state="frozen"/>
      <selection activeCell="B3" sqref="B3:B5"/>
      <selection pane="topRight" activeCell="B3" sqref="B3:B5"/>
      <selection pane="bottomLeft" activeCell="B3" sqref="B3:B5"/>
      <selection pane="bottomRight" activeCell="P36" sqref="P36"/>
    </sheetView>
  </sheetViews>
  <sheetFormatPr defaultRowHeight="12.75"/>
  <cols>
    <col min="1" max="1" width="8.42578125" customWidth="1"/>
    <col min="2" max="2" width="35.28515625" customWidth="1"/>
    <col min="3" max="3" width="12.140625" bestFit="1" customWidth="1"/>
    <col min="4" max="4" width="13.5703125" customWidth="1"/>
    <col min="5" max="5" width="20.7109375" customWidth="1"/>
    <col min="6" max="6" width="18.42578125" customWidth="1"/>
    <col min="7" max="7" width="19.7109375" customWidth="1"/>
    <col min="8" max="8" width="21.42578125" customWidth="1"/>
    <col min="9" max="11" width="18.28515625" customWidth="1"/>
    <col min="12" max="12" width="19.42578125" customWidth="1"/>
    <col min="13" max="13" width="17.7109375" customWidth="1"/>
    <col min="14" max="24" width="20.85546875" customWidth="1"/>
    <col min="25" max="25" width="19.28515625" bestFit="1" customWidth="1"/>
    <col min="26" max="26" width="17.7109375" customWidth="1"/>
  </cols>
  <sheetData>
    <row r="1" spans="1:26" ht="15.75">
      <c r="A1" s="269"/>
      <c r="B1" s="269"/>
    </row>
    <row r="2" spans="1:26" ht="22.5" customHeight="1">
      <c r="B2" s="1693"/>
      <c r="C2" s="1693"/>
      <c r="D2" s="1693"/>
      <c r="E2" s="1693"/>
      <c r="F2" s="1693"/>
      <c r="G2" s="1693"/>
      <c r="H2" s="1693"/>
      <c r="I2" s="1693"/>
      <c r="J2" s="1693"/>
      <c r="K2" s="1693"/>
      <c r="L2" s="1693"/>
      <c r="M2" s="1693"/>
      <c r="N2" s="1693"/>
      <c r="O2" s="343"/>
      <c r="P2" s="343"/>
      <c r="Q2" s="343"/>
    </row>
    <row r="3" spans="1:26" ht="41.25" customHeight="1">
      <c r="C3" s="73"/>
      <c r="D3" s="440"/>
      <c r="E3" s="75"/>
      <c r="F3" s="1694" t="s">
        <v>364</v>
      </c>
      <c r="G3" s="1695"/>
      <c r="H3" s="75"/>
      <c r="I3" s="1687" t="s">
        <v>408</v>
      </c>
      <c r="J3" s="1687"/>
      <c r="K3" s="1687"/>
      <c r="L3" s="759"/>
      <c r="M3" s="75"/>
      <c r="N3" s="75"/>
      <c r="O3" s="75"/>
      <c r="P3" s="75"/>
      <c r="Q3" s="75"/>
      <c r="R3" s="1687" t="s">
        <v>413</v>
      </c>
      <c r="S3" s="1687"/>
      <c r="T3" s="1687"/>
      <c r="U3" s="75"/>
      <c r="V3" s="75"/>
      <c r="W3" s="75"/>
      <c r="X3" s="75"/>
    </row>
    <row r="4" spans="1:26" ht="101.25" customHeight="1">
      <c r="A4" s="1583" t="s">
        <v>412</v>
      </c>
      <c r="B4" s="1583" t="s">
        <v>185</v>
      </c>
      <c r="C4" s="1696" t="s">
        <v>594</v>
      </c>
      <c r="D4" s="1583" t="s">
        <v>743</v>
      </c>
      <c r="E4" s="1590" t="s">
        <v>664</v>
      </c>
      <c r="F4" s="1583" t="s">
        <v>372</v>
      </c>
      <c r="G4" s="1583" t="s">
        <v>365</v>
      </c>
      <c r="H4" s="1590" t="s">
        <v>665</v>
      </c>
      <c r="I4" s="333" t="s">
        <v>409</v>
      </c>
      <c r="J4" s="333" t="s">
        <v>410</v>
      </c>
      <c r="K4" s="1685" t="s">
        <v>411</v>
      </c>
      <c r="L4" s="1590" t="s">
        <v>666</v>
      </c>
      <c r="M4" s="1691" t="s">
        <v>967</v>
      </c>
      <c r="N4" s="1590" t="s">
        <v>667</v>
      </c>
      <c r="O4" s="1590" t="s">
        <v>671</v>
      </c>
      <c r="P4" s="1688" t="s">
        <v>530</v>
      </c>
      <c r="Q4" s="1688" t="s">
        <v>668</v>
      </c>
      <c r="R4" s="333" t="s">
        <v>409</v>
      </c>
      <c r="S4" s="333" t="s">
        <v>410</v>
      </c>
      <c r="T4" s="1685" t="s">
        <v>411</v>
      </c>
      <c r="U4" s="1688" t="s">
        <v>669</v>
      </c>
      <c r="V4" s="1590" t="s">
        <v>967</v>
      </c>
      <c r="W4" s="1688" t="s">
        <v>670</v>
      </c>
      <c r="X4" s="1688" t="s">
        <v>672</v>
      </c>
      <c r="Y4" s="1698" t="s">
        <v>537</v>
      </c>
      <c r="Z4" s="1698" t="s">
        <v>538</v>
      </c>
    </row>
    <row r="5" spans="1:26" ht="36.75" customHeight="1">
      <c r="A5" s="1585" t="s">
        <v>78</v>
      </c>
      <c r="B5" s="1585"/>
      <c r="C5" s="1697"/>
      <c r="D5" s="1585"/>
      <c r="E5" s="1582"/>
      <c r="F5" s="1585"/>
      <c r="G5" s="1585"/>
      <c r="H5" s="1582"/>
      <c r="I5" s="758">
        <v>1.7500000000000002E-2</v>
      </c>
      <c r="J5" s="758">
        <v>2.5000000000000001E-3</v>
      </c>
      <c r="K5" s="1686"/>
      <c r="L5" s="1582"/>
      <c r="M5" s="1692"/>
      <c r="N5" s="1582"/>
      <c r="O5" s="1582"/>
      <c r="P5" s="1689"/>
      <c r="Q5" s="1689"/>
      <c r="R5" s="758">
        <v>1.7500000000000002E-2</v>
      </c>
      <c r="S5" s="758">
        <v>2.5000000000000001E-3</v>
      </c>
      <c r="T5" s="1686"/>
      <c r="U5" s="1689"/>
      <c r="V5" s="1582"/>
      <c r="W5" s="1689"/>
      <c r="X5" s="1689"/>
      <c r="Y5" s="1699"/>
      <c r="Z5" s="1699"/>
    </row>
    <row r="6" spans="1:26">
      <c r="A6" s="114"/>
      <c r="B6" s="114"/>
      <c r="C6" s="222">
        <v>1</v>
      </c>
      <c r="D6" s="222">
        <f t="shared" ref="D6:N6" si="0">C6+1</f>
        <v>2</v>
      </c>
      <c r="E6" s="222">
        <f t="shared" si="0"/>
        <v>3</v>
      </c>
      <c r="F6" s="222">
        <f t="shared" si="0"/>
        <v>4</v>
      </c>
      <c r="G6" s="222">
        <f t="shared" si="0"/>
        <v>5</v>
      </c>
      <c r="H6" s="222">
        <f t="shared" si="0"/>
        <v>6</v>
      </c>
      <c r="I6" s="222">
        <f>H6+1</f>
        <v>7</v>
      </c>
      <c r="J6" s="222">
        <f>I6+1</f>
        <v>8</v>
      </c>
      <c r="K6" s="222">
        <f>J6+1</f>
        <v>9</v>
      </c>
      <c r="L6" s="222">
        <f>K6+1</f>
        <v>10</v>
      </c>
      <c r="M6" s="222">
        <f>L6+1</f>
        <v>11</v>
      </c>
      <c r="N6" s="222">
        <f t="shared" si="0"/>
        <v>12</v>
      </c>
      <c r="O6" s="222">
        <f t="shared" ref="O6:X6" si="1">N6+1</f>
        <v>13</v>
      </c>
      <c r="P6" s="222">
        <f t="shared" si="1"/>
        <v>14</v>
      </c>
      <c r="Q6" s="222">
        <f t="shared" si="1"/>
        <v>15</v>
      </c>
      <c r="R6" s="222">
        <f t="shared" si="1"/>
        <v>16</v>
      </c>
      <c r="S6" s="222">
        <f t="shared" si="1"/>
        <v>17</v>
      </c>
      <c r="T6" s="222">
        <f t="shared" si="1"/>
        <v>18</v>
      </c>
      <c r="U6" s="222">
        <f t="shared" si="1"/>
        <v>19</v>
      </c>
      <c r="V6" s="222">
        <f t="shared" si="1"/>
        <v>20</v>
      </c>
      <c r="W6" s="222">
        <f t="shared" si="1"/>
        <v>21</v>
      </c>
      <c r="X6" s="222">
        <f t="shared" si="1"/>
        <v>22</v>
      </c>
      <c r="Y6" s="222">
        <f t="shared" ref="Y6" si="2">X6+1</f>
        <v>23</v>
      </c>
      <c r="Z6" s="222">
        <f t="shared" ref="Z6" si="3">Y6+1</f>
        <v>24</v>
      </c>
    </row>
    <row r="7" spans="1:26" s="107" customFormat="1" ht="30" customHeight="1">
      <c r="A7" s="596"/>
      <c r="B7" s="596" t="s">
        <v>932</v>
      </c>
      <c r="C7" s="998">
        <f>'2-1-13 SIS'!C23+'2-1-13 SIS'!R23</f>
        <v>40427</v>
      </c>
      <c r="D7" s="503">
        <f>'Table 3 Levels 1&amp;2'!$AL$24</f>
        <v>3313.0666313017805</v>
      </c>
      <c r="E7" s="502">
        <f>ROUND(C7*D7,0)</f>
        <v>133937345</v>
      </c>
      <c r="F7" s="502">
        <v>801.47762416806802</v>
      </c>
      <c r="G7" s="502">
        <f>F7*C7</f>
        <v>32401335.912242487</v>
      </c>
      <c r="H7" s="760">
        <f>E7+G7</f>
        <v>166338680.91224247</v>
      </c>
      <c r="I7" s="760"/>
      <c r="J7" s="760"/>
      <c r="K7" s="760"/>
      <c r="L7" s="760"/>
      <c r="M7" s="501" t="s">
        <v>259</v>
      </c>
      <c r="N7" s="764" t="s">
        <v>259</v>
      </c>
      <c r="O7" s="764"/>
      <c r="P7" s="501"/>
      <c r="Q7" s="501"/>
      <c r="R7" s="501"/>
      <c r="S7" s="501"/>
      <c r="T7" s="501"/>
      <c r="U7" s="501"/>
      <c r="V7" s="792" t="s">
        <v>429</v>
      </c>
      <c r="W7" s="766"/>
      <c r="X7" s="766"/>
      <c r="Y7" s="766"/>
      <c r="Z7" s="766"/>
    </row>
    <row r="8" spans="1:26" s="75" customFormat="1" ht="6" customHeight="1">
      <c r="A8" s="490"/>
      <c r="B8" s="490"/>
      <c r="C8" s="491"/>
      <c r="D8" s="492"/>
      <c r="E8" s="493"/>
      <c r="F8" s="493"/>
      <c r="G8" s="493"/>
      <c r="H8" s="493"/>
      <c r="I8" s="493"/>
      <c r="J8" s="493"/>
      <c r="K8" s="493"/>
      <c r="L8" s="493"/>
      <c r="M8" s="493"/>
      <c r="N8" s="493"/>
      <c r="O8" s="493"/>
      <c r="P8" s="493"/>
      <c r="Q8" s="493"/>
      <c r="R8" s="493"/>
      <c r="S8" s="493"/>
      <c r="T8" s="493"/>
      <c r="U8" s="493"/>
      <c r="V8" s="493"/>
      <c r="W8" s="493"/>
      <c r="X8" s="493"/>
      <c r="Y8" s="493"/>
      <c r="Z8" s="493"/>
    </row>
    <row r="9" spans="1:26">
      <c r="W9" s="769"/>
      <c r="X9" s="769"/>
      <c r="Y9" s="769"/>
      <c r="Z9" s="769"/>
    </row>
    <row r="10" spans="1:26" ht="30.75" customHeight="1">
      <c r="A10" s="596">
        <v>396210</v>
      </c>
      <c r="B10" s="795" t="s">
        <v>519</v>
      </c>
      <c r="C10" s="1236">
        <f>'[15]RSD by Site'!$C$27</f>
        <v>165</v>
      </c>
      <c r="D10" s="459">
        <f>'Table 3 Levels 1&amp;2'!$AL$24</f>
        <v>3313.0666313017805</v>
      </c>
      <c r="E10" s="443">
        <f t="shared" ref="E10:E17" si="4">ROUND(C10*D10,0)</f>
        <v>546656</v>
      </c>
      <c r="F10" s="443">
        <f>F7</f>
        <v>801.47762416806802</v>
      </c>
      <c r="G10" s="443">
        <f t="shared" ref="G10:G17" si="5">F10*C10</f>
        <v>132243.80798773121</v>
      </c>
      <c r="H10" s="761">
        <f t="shared" ref="H10:H17" si="6">E10+G10</f>
        <v>678899.80798773118</v>
      </c>
      <c r="I10" s="761" t="s">
        <v>429</v>
      </c>
      <c r="J10" s="761" t="s">
        <v>429</v>
      </c>
      <c r="K10" s="761">
        <v>0</v>
      </c>
      <c r="L10" s="761">
        <f>H10+K10</f>
        <v>678899.80798773118</v>
      </c>
      <c r="M10" s="761">
        <f>'[12]Adjusted Amounts'!$I$159</f>
        <v>-8394.4042165508727</v>
      </c>
      <c r="N10" s="561">
        <f>SUM(L10:M10)</f>
        <v>670505.40377118031</v>
      </c>
      <c r="O10" s="561">
        <f>N10/12</f>
        <v>55875.450314265028</v>
      </c>
      <c r="P10" s="761">
        <f>'[11]FY2013-14 Initial'!$D$24</f>
        <v>5890</v>
      </c>
      <c r="Q10" s="443">
        <f>P10*C10</f>
        <v>971850</v>
      </c>
      <c r="R10" s="443" t="s">
        <v>429</v>
      </c>
      <c r="S10" s="443" t="s">
        <v>429</v>
      </c>
      <c r="T10" s="443">
        <v>0</v>
      </c>
      <c r="U10" s="443">
        <f>Q10+T10</f>
        <v>971850</v>
      </c>
      <c r="V10" s="761">
        <f>'[12]Adjusted Amounts'!$Q$159</f>
        <v>-11476</v>
      </c>
      <c r="W10" s="767">
        <f>SUM(U10:V10)</f>
        <v>960374</v>
      </c>
      <c r="X10" s="767">
        <f>W10/12</f>
        <v>80031.166666666672</v>
      </c>
      <c r="Y10" s="767">
        <f>N10+W10</f>
        <v>1630879.4037711802</v>
      </c>
      <c r="Z10" s="767">
        <f>O10+X10</f>
        <v>135906.61698093169</v>
      </c>
    </row>
    <row r="11" spans="1:26" ht="30.75" customHeight="1">
      <c r="A11" s="596">
        <v>396205</v>
      </c>
      <c r="B11" s="795" t="s">
        <v>518</v>
      </c>
      <c r="C11" s="1236">
        <f>'[15]RSD by Site'!$C$22</f>
        <v>202</v>
      </c>
      <c r="D11" s="459">
        <f>'Table 3 Levels 1&amp;2'!$AL$24</f>
        <v>3313.0666313017805</v>
      </c>
      <c r="E11" s="443">
        <f t="shared" si="4"/>
        <v>669239</v>
      </c>
      <c r="F11" s="1188">
        <f>F7</f>
        <v>801.47762416806802</v>
      </c>
      <c r="G11" s="443">
        <f t="shared" si="5"/>
        <v>161898.48008194973</v>
      </c>
      <c r="H11" s="761">
        <f t="shared" si="6"/>
        <v>831137.48008194973</v>
      </c>
      <c r="I11" s="761" t="s">
        <v>429</v>
      </c>
      <c r="J11" s="761" t="s">
        <v>429</v>
      </c>
      <c r="K11" s="761">
        <v>0</v>
      </c>
      <c r="L11" s="761">
        <f t="shared" ref="L11:L16" si="7">H11+K11</f>
        <v>831137.48008194973</v>
      </c>
      <c r="M11" s="761">
        <f>'[12]Adjusted Amounts'!$I$154</f>
        <v>0</v>
      </c>
      <c r="N11" s="561">
        <f t="shared" ref="N11:N17" si="8">SUM(L11:M11)</f>
        <v>831137.48008194973</v>
      </c>
      <c r="O11" s="763">
        <f t="shared" ref="O11:O17" si="9">N11/12</f>
        <v>69261.456673495806</v>
      </c>
      <c r="P11" s="761">
        <f>'[11]FY2013-14 Initial'!$D$24</f>
        <v>5890</v>
      </c>
      <c r="Q11" s="443">
        <f t="shared" ref="Q11:Q17" si="10">P11*C11</f>
        <v>1189780</v>
      </c>
      <c r="R11" s="443" t="s">
        <v>429</v>
      </c>
      <c r="S11" s="443" t="s">
        <v>429</v>
      </c>
      <c r="T11" s="443">
        <v>0</v>
      </c>
      <c r="U11" s="443">
        <f t="shared" ref="U11:U17" si="11">Q11+T11</f>
        <v>1189780</v>
      </c>
      <c r="V11" s="761">
        <f>'[12]Adjusted Amounts'!$Q$154</f>
        <v>0</v>
      </c>
      <c r="W11" s="767">
        <f t="shared" ref="W11:W17" si="12">SUM(U11:V11)</f>
        <v>1189780</v>
      </c>
      <c r="X11" s="767">
        <f t="shared" ref="X11:X17" si="13">W11/12</f>
        <v>99148.333333333328</v>
      </c>
      <c r="Y11" s="767">
        <f t="shared" ref="Y11:Y17" si="14">N11+W11</f>
        <v>2020917.4800819498</v>
      </c>
      <c r="Z11" s="767">
        <f t="shared" ref="Z11:Z17" si="15">O11+X11</f>
        <v>168409.79000682913</v>
      </c>
    </row>
    <row r="12" spans="1:26" ht="30.75" customHeight="1">
      <c r="A12" s="596">
        <v>396206</v>
      </c>
      <c r="B12" s="795" t="s">
        <v>517</v>
      </c>
      <c r="C12" s="1236">
        <f>'[15]RSD by Site'!$C$23</f>
        <v>209</v>
      </c>
      <c r="D12" s="459">
        <f>'Table 3 Levels 1&amp;2'!$AL$24</f>
        <v>3313.0666313017805</v>
      </c>
      <c r="E12" s="443">
        <f t="shared" si="4"/>
        <v>692431</v>
      </c>
      <c r="F12" s="1188">
        <f>F7</f>
        <v>801.47762416806802</v>
      </c>
      <c r="G12" s="443">
        <f t="shared" si="5"/>
        <v>167508.82345112623</v>
      </c>
      <c r="H12" s="761">
        <f t="shared" si="6"/>
        <v>859939.82345112623</v>
      </c>
      <c r="I12" s="761" t="s">
        <v>429</v>
      </c>
      <c r="J12" s="761" t="s">
        <v>429</v>
      </c>
      <c r="K12" s="761">
        <v>0</v>
      </c>
      <c r="L12" s="761">
        <f t="shared" si="7"/>
        <v>859939.82345112623</v>
      </c>
      <c r="M12" s="761">
        <f>'[12]Adjusted Amounts'!$I$155</f>
        <v>-4197.2021082754363</v>
      </c>
      <c r="N12" s="561">
        <f t="shared" si="8"/>
        <v>855742.62134285085</v>
      </c>
      <c r="O12" s="561">
        <f t="shared" si="9"/>
        <v>71311.885111904237</v>
      </c>
      <c r="P12" s="761">
        <f>'[11]FY2013-14 Initial'!$D$24</f>
        <v>5890</v>
      </c>
      <c r="Q12" s="443">
        <f t="shared" si="10"/>
        <v>1231010</v>
      </c>
      <c r="R12" s="443" t="s">
        <v>429</v>
      </c>
      <c r="S12" s="443" t="s">
        <v>429</v>
      </c>
      <c r="T12" s="443">
        <v>0</v>
      </c>
      <c r="U12" s="443">
        <f t="shared" si="11"/>
        <v>1231010</v>
      </c>
      <c r="V12" s="761">
        <f>'[12]Adjusted Amounts'!$Q$155</f>
        <v>-5738</v>
      </c>
      <c r="W12" s="767">
        <f t="shared" si="12"/>
        <v>1225272</v>
      </c>
      <c r="X12" s="767">
        <f t="shared" si="13"/>
        <v>102106</v>
      </c>
      <c r="Y12" s="767">
        <f t="shared" si="14"/>
        <v>2081014.6213428508</v>
      </c>
      <c r="Z12" s="767">
        <f t="shared" si="15"/>
        <v>173417.88511190424</v>
      </c>
    </row>
    <row r="13" spans="1:26" ht="30.75" customHeight="1">
      <c r="A13" s="596">
        <v>369208</v>
      </c>
      <c r="B13" s="795" t="s">
        <v>516</v>
      </c>
      <c r="C13" s="1236">
        <f>'[15]RSD by Site'!$C$25</f>
        <v>266</v>
      </c>
      <c r="D13" s="459">
        <f>'Table 3 Levels 1&amp;2'!$AL$24</f>
        <v>3313.0666313017805</v>
      </c>
      <c r="E13" s="443">
        <f t="shared" si="4"/>
        <v>881276</v>
      </c>
      <c r="F13" s="1188">
        <f>F7</f>
        <v>801.47762416806802</v>
      </c>
      <c r="G13" s="443">
        <f t="shared" si="5"/>
        <v>213193.04802870611</v>
      </c>
      <c r="H13" s="761">
        <f t="shared" si="6"/>
        <v>1094469.0480287061</v>
      </c>
      <c r="I13" s="761" t="s">
        <v>429</v>
      </c>
      <c r="J13" s="761" t="s">
        <v>429</v>
      </c>
      <c r="K13" s="761">
        <v>0</v>
      </c>
      <c r="L13" s="761">
        <f t="shared" si="7"/>
        <v>1094469.0480287061</v>
      </c>
      <c r="M13" s="761">
        <f>'[12]Adjusted Amounts'!$I$157</f>
        <v>-4197.2021082754363</v>
      </c>
      <c r="N13" s="561">
        <f t="shared" si="8"/>
        <v>1090271.8459204307</v>
      </c>
      <c r="O13" s="561">
        <f t="shared" si="9"/>
        <v>90855.987160035889</v>
      </c>
      <c r="P13" s="761">
        <f>'[11]FY2013-14 Initial'!$D$24</f>
        <v>5890</v>
      </c>
      <c r="Q13" s="443">
        <f t="shared" si="10"/>
        <v>1566740</v>
      </c>
      <c r="R13" s="443" t="s">
        <v>429</v>
      </c>
      <c r="S13" s="443" t="s">
        <v>429</v>
      </c>
      <c r="T13" s="443">
        <v>0</v>
      </c>
      <c r="U13" s="443">
        <f t="shared" si="11"/>
        <v>1566740</v>
      </c>
      <c r="V13" s="761">
        <f>'[12]Adjusted Amounts'!$Q$157</f>
        <v>-5738</v>
      </c>
      <c r="W13" s="767">
        <f t="shared" si="12"/>
        <v>1561002</v>
      </c>
      <c r="X13" s="767">
        <f t="shared" si="13"/>
        <v>130083.5</v>
      </c>
      <c r="Y13" s="767">
        <f t="shared" si="14"/>
        <v>2651273.8459204305</v>
      </c>
      <c r="Z13" s="767">
        <f t="shared" si="15"/>
        <v>220939.48716003587</v>
      </c>
    </row>
    <row r="14" spans="1:26" ht="30.75" customHeight="1">
      <c r="A14" s="596">
        <v>369209</v>
      </c>
      <c r="B14" s="795" t="s">
        <v>513</v>
      </c>
      <c r="C14" s="1236">
        <f>'[15]RSD by Site'!$C$26</f>
        <v>338</v>
      </c>
      <c r="D14" s="459">
        <f>'Table 3 Levels 1&amp;2'!$AL$24</f>
        <v>3313.0666313017805</v>
      </c>
      <c r="E14" s="443">
        <f t="shared" si="4"/>
        <v>1119817</v>
      </c>
      <c r="F14" s="1188">
        <f>F7</f>
        <v>801.47762416806802</v>
      </c>
      <c r="G14" s="443">
        <f t="shared" si="5"/>
        <v>270899.43696880701</v>
      </c>
      <c r="H14" s="761">
        <f t="shared" si="6"/>
        <v>1390716.4369688071</v>
      </c>
      <c r="I14" s="761" t="s">
        <v>429</v>
      </c>
      <c r="J14" s="761" t="s">
        <v>429</v>
      </c>
      <c r="K14" s="761">
        <v>0</v>
      </c>
      <c r="L14" s="761">
        <f t="shared" si="7"/>
        <v>1390716.4369688071</v>
      </c>
      <c r="M14" s="761">
        <f>'[12]Adjusted Amounts'!$I$158</f>
        <v>-4197.2021082754363</v>
      </c>
      <c r="N14" s="561">
        <f t="shared" si="8"/>
        <v>1386519.2348605318</v>
      </c>
      <c r="O14" s="561">
        <f t="shared" si="9"/>
        <v>115543.26957171097</v>
      </c>
      <c r="P14" s="761">
        <f>'[11]FY2013-14 Initial'!$D$24</f>
        <v>5890</v>
      </c>
      <c r="Q14" s="443">
        <f t="shared" si="10"/>
        <v>1990820</v>
      </c>
      <c r="R14" s="443" t="s">
        <v>429</v>
      </c>
      <c r="S14" s="443" t="s">
        <v>429</v>
      </c>
      <c r="T14" s="443">
        <v>0</v>
      </c>
      <c r="U14" s="443">
        <f t="shared" si="11"/>
        <v>1990820</v>
      </c>
      <c r="V14" s="761">
        <f>'[12]Adjusted Amounts'!$Q$158</f>
        <v>-5738</v>
      </c>
      <c r="W14" s="767">
        <f t="shared" si="12"/>
        <v>1985082</v>
      </c>
      <c r="X14" s="767">
        <f t="shared" si="13"/>
        <v>165423.5</v>
      </c>
      <c r="Y14" s="767">
        <f t="shared" si="14"/>
        <v>3371601.234860532</v>
      </c>
      <c r="Z14" s="767">
        <f t="shared" si="15"/>
        <v>280966.76957171096</v>
      </c>
    </row>
    <row r="15" spans="1:26" ht="32.25" customHeight="1">
      <c r="A15" s="596">
        <v>369204</v>
      </c>
      <c r="B15" s="795" t="s">
        <v>514</v>
      </c>
      <c r="C15" s="1236">
        <f>'[15]RSD by Site'!$C$21</f>
        <v>332</v>
      </c>
      <c r="D15" s="459">
        <f>'Table 3 Levels 1&amp;2'!$AL$24</f>
        <v>3313.0666313017805</v>
      </c>
      <c r="E15" s="443">
        <f t="shared" ref="E15" si="16">ROUND(C15*D15,0)</f>
        <v>1099938</v>
      </c>
      <c r="F15" s="1188">
        <f>F7</f>
        <v>801.47762416806802</v>
      </c>
      <c r="G15" s="443">
        <f t="shared" si="5"/>
        <v>266090.57122379856</v>
      </c>
      <c r="H15" s="761">
        <f t="shared" ref="H15" si="17">E15+G15</f>
        <v>1366028.5712237987</v>
      </c>
      <c r="I15" s="761" t="s">
        <v>429</v>
      </c>
      <c r="J15" s="761" t="s">
        <v>429</v>
      </c>
      <c r="K15" s="761">
        <v>0</v>
      </c>
      <c r="L15" s="761">
        <f t="shared" ref="L15" si="18">H15+K15</f>
        <v>1366028.5712237987</v>
      </c>
      <c r="M15" s="761">
        <f>'[12]Adjusted Amounts'!$I$153</f>
        <v>-33577.616866203491</v>
      </c>
      <c r="N15" s="561">
        <f t="shared" ref="N15" si="19">SUM(L15:M15)</f>
        <v>1332450.9543575952</v>
      </c>
      <c r="O15" s="561">
        <f t="shared" ref="O15" si="20">N15/12</f>
        <v>111037.57952979959</v>
      </c>
      <c r="P15" s="761">
        <f>'[11]FY2013-14 Initial'!$D$24</f>
        <v>5890</v>
      </c>
      <c r="Q15" s="443">
        <f t="shared" ref="Q15" si="21">P15*C15</f>
        <v>1955480</v>
      </c>
      <c r="R15" s="443" t="s">
        <v>429</v>
      </c>
      <c r="S15" s="443" t="s">
        <v>429</v>
      </c>
      <c r="T15" s="443">
        <v>0</v>
      </c>
      <c r="U15" s="443">
        <f t="shared" ref="U15" si="22">Q15+T15</f>
        <v>1955480</v>
      </c>
      <c r="V15" s="761">
        <f>'[12]Adjusted Amounts'!$Q$153</f>
        <v>-45904</v>
      </c>
      <c r="W15" s="767">
        <f t="shared" ref="W15" si="23">SUM(U15:V15)</f>
        <v>1909576</v>
      </c>
      <c r="X15" s="767">
        <f t="shared" ref="X15" si="24">W15/12</f>
        <v>159131.33333333334</v>
      </c>
      <c r="Y15" s="767">
        <f t="shared" ref="Y15" si="25">N15+W15</f>
        <v>3242026.9543575952</v>
      </c>
      <c r="Z15" s="767">
        <f t="shared" ref="Z15" si="26">O15+X15</f>
        <v>270168.91286313295</v>
      </c>
    </row>
    <row r="16" spans="1:26" ht="35.25" customHeight="1">
      <c r="A16" s="596">
        <v>369</v>
      </c>
      <c r="B16" s="795" t="s">
        <v>515</v>
      </c>
      <c r="C16" s="1236">
        <f>'[15]RSD by Site'!$C$19</f>
        <v>239</v>
      </c>
      <c r="D16" s="459">
        <f>'Table 3 Levels 1&amp;2'!$AL$24</f>
        <v>3313.0666313017805</v>
      </c>
      <c r="E16" s="443">
        <f t="shared" si="4"/>
        <v>791823</v>
      </c>
      <c r="F16" s="1188">
        <f>F7</f>
        <v>801.47762416806802</v>
      </c>
      <c r="G16" s="443">
        <f t="shared" si="5"/>
        <v>191553.15217616825</v>
      </c>
      <c r="H16" s="761">
        <f t="shared" si="6"/>
        <v>983376.15217616828</v>
      </c>
      <c r="I16" s="761" t="s">
        <v>429</v>
      </c>
      <c r="J16" s="761" t="s">
        <v>429</v>
      </c>
      <c r="K16" s="761">
        <v>0</v>
      </c>
      <c r="L16" s="761">
        <f t="shared" si="7"/>
        <v>983376.15217616828</v>
      </c>
      <c r="M16" s="761">
        <f>'[12]Adjusted Amounts'!$I$152</f>
        <v>-62288.211523809267</v>
      </c>
      <c r="N16" s="561">
        <f t="shared" si="8"/>
        <v>921087.94065235904</v>
      </c>
      <c r="O16" s="561">
        <f t="shared" si="9"/>
        <v>76757.328387696587</v>
      </c>
      <c r="P16" s="761">
        <f>'[11]FY2013-14 Initial'!$D$24</f>
        <v>5890</v>
      </c>
      <c r="Q16" s="443">
        <f t="shared" si="10"/>
        <v>1407710</v>
      </c>
      <c r="R16" s="443" t="s">
        <v>429</v>
      </c>
      <c r="S16" s="443" t="s">
        <v>429</v>
      </c>
      <c r="T16" s="443">
        <v>0</v>
      </c>
      <c r="U16" s="443">
        <f t="shared" si="11"/>
        <v>1407710</v>
      </c>
      <c r="V16" s="443">
        <f>'[12]Adjusted Amounts'!$Q$152</f>
        <v>-68280</v>
      </c>
      <c r="W16" s="767">
        <f t="shared" si="12"/>
        <v>1339430</v>
      </c>
      <c r="X16" s="767">
        <f t="shared" si="13"/>
        <v>111619.16666666667</v>
      </c>
      <c r="Y16" s="767">
        <f t="shared" si="14"/>
        <v>2260517.9406523593</v>
      </c>
      <c r="Z16" s="767">
        <f t="shared" si="15"/>
        <v>188376.49505436327</v>
      </c>
    </row>
    <row r="17" spans="1:26" ht="32.25" customHeight="1">
      <c r="A17" s="594">
        <v>389002</v>
      </c>
      <c r="B17" s="1124" t="s">
        <v>345</v>
      </c>
      <c r="C17" s="1236">
        <f>'[9]ALL-Reformatted'!$D$22</f>
        <v>497</v>
      </c>
      <c r="D17" s="459">
        <f>'Table 3 Levels 1&amp;2'!$AL$24</f>
        <v>3313.0666313017805</v>
      </c>
      <c r="E17" s="443">
        <f t="shared" si="4"/>
        <v>1646594</v>
      </c>
      <c r="F17" s="1188">
        <f>F7</f>
        <v>801.47762416806802</v>
      </c>
      <c r="G17" s="443">
        <f t="shared" si="5"/>
        <v>398334.3792115298</v>
      </c>
      <c r="H17" s="761">
        <f t="shared" si="6"/>
        <v>2044928.3792115299</v>
      </c>
      <c r="I17" s="761">
        <f>-H17*$I$5</f>
        <v>-35786.246636201773</v>
      </c>
      <c r="J17" s="761">
        <f t="shared" ref="J17" si="27">-H17*$J$5</f>
        <v>-5112.3209480288251</v>
      </c>
      <c r="K17" s="761">
        <f t="shared" ref="K17" si="28">I17+J17</f>
        <v>-40898.567584230601</v>
      </c>
      <c r="L17" s="761">
        <f>H17+K17</f>
        <v>2004029.8116272993</v>
      </c>
      <c r="M17" s="761">
        <f>'[12]Adjusted Amounts'!$I$221</f>
        <v>-34110.218011362987</v>
      </c>
      <c r="N17" s="561">
        <f t="shared" si="8"/>
        <v>1969919.5936159363</v>
      </c>
      <c r="O17" s="561">
        <f t="shared" si="9"/>
        <v>164159.96613466137</v>
      </c>
      <c r="P17" s="761">
        <f>'[11]FY2013-14 Initial'!$D$24</f>
        <v>5890</v>
      </c>
      <c r="Q17" s="443">
        <f t="shared" si="10"/>
        <v>2927330</v>
      </c>
      <c r="R17" s="443">
        <f t="shared" ref="R17" si="29">-Q17*$R$5</f>
        <v>-51228.275000000001</v>
      </c>
      <c r="S17" s="443">
        <f t="shared" ref="S17" si="30">-Q17*$S$5</f>
        <v>-7318.3249999999998</v>
      </c>
      <c r="T17" s="443">
        <f t="shared" ref="T17" si="31">R17+S17</f>
        <v>-58546.6</v>
      </c>
      <c r="U17" s="443">
        <f t="shared" si="11"/>
        <v>2868783.4</v>
      </c>
      <c r="V17" s="443">
        <f>'[12]Adjusted Amounts'!$Q$221</f>
        <v>0</v>
      </c>
      <c r="W17" s="767">
        <f t="shared" si="12"/>
        <v>2868783.4</v>
      </c>
      <c r="X17" s="767">
        <f t="shared" si="13"/>
        <v>239065.28333333333</v>
      </c>
      <c r="Y17" s="767">
        <f t="shared" si="14"/>
        <v>4838702.9936159365</v>
      </c>
      <c r="Z17" s="767">
        <f t="shared" si="15"/>
        <v>403225.24946799467</v>
      </c>
    </row>
    <row r="18" spans="1:26" s="8" customFormat="1" ht="32.25" customHeight="1">
      <c r="A18" s="439"/>
      <c r="B18" s="439" t="s">
        <v>256</v>
      </c>
      <c r="C18" s="494">
        <f>SUM(C10:C17)</f>
        <v>2248</v>
      </c>
      <c r="D18" s="495"/>
      <c r="E18" s="496">
        <f>SUM(E10:E17)</f>
        <v>7447774</v>
      </c>
      <c r="F18" s="496"/>
      <c r="G18" s="496">
        <f t="shared" ref="G18:O18" si="32">SUM(G10:G17)</f>
        <v>1801721.6991298168</v>
      </c>
      <c r="H18" s="715">
        <f t="shared" si="32"/>
        <v>9249495.699129818</v>
      </c>
      <c r="I18" s="715">
        <f t="shared" si="32"/>
        <v>-35786.246636201773</v>
      </c>
      <c r="J18" s="715">
        <f t="shared" si="32"/>
        <v>-5112.3209480288251</v>
      </c>
      <c r="K18" s="715">
        <f t="shared" si="32"/>
        <v>-40898.567584230601</v>
      </c>
      <c r="L18" s="715">
        <f t="shared" si="32"/>
        <v>9208597.1315455865</v>
      </c>
      <c r="M18" s="496">
        <f t="shared" si="32"/>
        <v>-150962.05694275291</v>
      </c>
      <c r="N18" s="496">
        <f t="shared" si="32"/>
        <v>9057635.0746028349</v>
      </c>
      <c r="O18" s="496">
        <f t="shared" si="32"/>
        <v>754802.9228835695</v>
      </c>
      <c r="P18" s="496"/>
      <c r="Q18" s="496">
        <f t="shared" ref="Q18:Z18" si="33">SUM(Q10:Q17)</f>
        <v>13240720</v>
      </c>
      <c r="R18" s="496">
        <f t="shared" si="33"/>
        <v>-51228.275000000001</v>
      </c>
      <c r="S18" s="496">
        <f t="shared" si="33"/>
        <v>-7318.3249999999998</v>
      </c>
      <c r="T18" s="496">
        <f t="shared" si="33"/>
        <v>-58546.6</v>
      </c>
      <c r="U18" s="496">
        <f t="shared" si="33"/>
        <v>13182173.4</v>
      </c>
      <c r="V18" s="496">
        <f t="shared" si="33"/>
        <v>-142874</v>
      </c>
      <c r="W18" s="768">
        <f t="shared" si="33"/>
        <v>13039299.4</v>
      </c>
      <c r="X18" s="768">
        <f t="shared" si="33"/>
        <v>1086608.2833333332</v>
      </c>
      <c r="Y18" s="768">
        <f t="shared" si="33"/>
        <v>22096934.474602833</v>
      </c>
      <c r="Z18" s="768">
        <f t="shared" si="33"/>
        <v>1841411.2062169029</v>
      </c>
    </row>
    <row r="19" spans="1:26" s="8" customFormat="1" ht="36" customHeight="1">
      <c r="A19" s="789"/>
      <c r="B19" s="789" t="s">
        <v>283</v>
      </c>
      <c r="C19" s="790">
        <f>C18+C7</f>
        <v>42675</v>
      </c>
      <c r="D19" s="791"/>
      <c r="E19" s="791">
        <f>E18+E7</f>
        <v>141385119</v>
      </c>
      <c r="F19" s="791"/>
      <c r="G19" s="791">
        <f>G18+G7</f>
        <v>34203057.611372307</v>
      </c>
      <c r="H19" s="791">
        <f>H18+H7</f>
        <v>175588176.61137229</v>
      </c>
      <c r="I19" s="791"/>
      <c r="J19" s="791"/>
      <c r="K19" s="791"/>
      <c r="L19" s="791"/>
      <c r="M19" s="791"/>
      <c r="N19" s="791"/>
      <c r="O19" s="791"/>
      <c r="P19" s="791"/>
      <c r="Q19" s="791"/>
      <c r="R19" s="791"/>
      <c r="S19" s="791"/>
      <c r="T19" s="791"/>
      <c r="U19" s="791"/>
      <c r="V19" s="791"/>
      <c r="W19" s="791"/>
      <c r="X19" s="791"/>
      <c r="Y19" s="791"/>
      <c r="Z19" s="791"/>
    </row>
    <row r="20" spans="1:26" ht="6.75" customHeight="1">
      <c r="A20" s="497"/>
      <c r="B20" s="497"/>
      <c r="C20" s="498"/>
      <c r="D20" s="499"/>
      <c r="E20" s="499"/>
      <c r="F20" s="499"/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499"/>
      <c r="U20" s="499"/>
      <c r="V20" s="499"/>
      <c r="W20" s="499"/>
      <c r="X20" s="499"/>
      <c r="Y20" s="499"/>
      <c r="Z20" s="499"/>
    </row>
    <row r="21" spans="1:26" s="500" customFormat="1" ht="40.5" customHeight="1">
      <c r="A21" s="722"/>
      <c r="B21" s="722" t="s">
        <v>975</v>
      </c>
      <c r="C21" s="1237">
        <f>'2-1-13 SIS'!C45+'2-1-13 SIS'!R45</f>
        <v>2600</v>
      </c>
      <c r="D21" s="443">
        <f>'Table 3 Levels 1&amp;2'!$AL$46</f>
        <v>3639.9942778062696</v>
      </c>
      <c r="E21" s="443">
        <f>ROUND(C21*D21,0)</f>
        <v>9463985</v>
      </c>
      <c r="F21" s="502">
        <v>779.65573042776441</v>
      </c>
      <c r="G21" s="502">
        <f>F21*C21</f>
        <v>2027104.8991121876</v>
      </c>
      <c r="H21" s="760">
        <f>E21+G21</f>
        <v>11491089.899112187</v>
      </c>
      <c r="I21" s="760"/>
      <c r="J21" s="760"/>
      <c r="K21" s="760"/>
      <c r="L21" s="760"/>
      <c r="M21" s="501" t="s">
        <v>259</v>
      </c>
      <c r="N21" s="560" t="s">
        <v>259</v>
      </c>
      <c r="O21" s="560"/>
      <c r="P21" s="853"/>
      <c r="Q21" s="501"/>
      <c r="R21" s="501"/>
      <c r="S21" s="501"/>
      <c r="T21" s="501"/>
      <c r="U21" s="501"/>
      <c r="V21" s="792" t="s">
        <v>429</v>
      </c>
      <c r="W21" s="766"/>
      <c r="X21" s="766"/>
      <c r="Y21" s="766"/>
      <c r="Z21" s="766"/>
    </row>
    <row r="22" spans="1:26" s="75" customFormat="1" ht="6" customHeight="1">
      <c r="A22" s="490"/>
      <c r="B22" s="490"/>
      <c r="C22" s="491"/>
      <c r="D22" s="491"/>
      <c r="E22" s="493"/>
      <c r="F22" s="493"/>
      <c r="G22" s="493"/>
      <c r="H22" s="714"/>
      <c r="I22" s="714"/>
      <c r="J22" s="714"/>
      <c r="K22" s="714"/>
      <c r="L22" s="714"/>
      <c r="M22" s="493"/>
      <c r="N22" s="563"/>
      <c r="O22" s="563"/>
      <c r="P22" s="493"/>
      <c r="Q22" s="493"/>
      <c r="R22" s="493"/>
      <c r="S22" s="493"/>
      <c r="T22" s="493"/>
      <c r="U22" s="493"/>
      <c r="V22" s="493"/>
      <c r="W22" s="493"/>
      <c r="X22" s="493"/>
      <c r="Y22" s="493"/>
      <c r="Z22" s="493"/>
    </row>
    <row r="23" spans="1:26" ht="38.25" customHeight="1">
      <c r="A23" s="1189">
        <v>369207</v>
      </c>
      <c r="B23" s="794" t="s">
        <v>974</v>
      </c>
      <c r="C23" s="442">
        <f>'[9]ALL-Reformatted'!$F$44</f>
        <v>231</v>
      </c>
      <c r="D23" s="443">
        <f>'Table 3 Levels 1&amp;2'!$AL$46</f>
        <v>3639.9942778062696</v>
      </c>
      <c r="E23" s="443">
        <f>ROUND(C23*D23,0)</f>
        <v>840839</v>
      </c>
      <c r="F23" s="1188">
        <f>F21</f>
        <v>779.65573042776441</v>
      </c>
      <c r="G23" s="443">
        <f>F23*C23</f>
        <v>180100.47372881358</v>
      </c>
      <c r="H23" s="761">
        <f>E23+G23</f>
        <v>1020939.4737288136</v>
      </c>
      <c r="I23" s="761" t="s">
        <v>429</v>
      </c>
      <c r="J23" s="761" t="s">
        <v>429</v>
      </c>
      <c r="K23" s="761">
        <v>0</v>
      </c>
      <c r="L23" s="761">
        <f>H23+K23</f>
        <v>1020939.4737288136</v>
      </c>
      <c r="M23" s="761">
        <f>'[12]Adjusted Amounts'!$I$156</f>
        <v>-8944.4957671786251</v>
      </c>
      <c r="N23" s="561">
        <f>SUM(L23:M23)</f>
        <v>1011994.977961635</v>
      </c>
      <c r="O23" s="561">
        <f>N23/12</f>
        <v>84332.914830136244</v>
      </c>
      <c r="P23" s="761">
        <f>'[11]FY2013-14 Initial'!$D$46</f>
        <v>4191</v>
      </c>
      <c r="Q23" s="443">
        <f>P23*C23</f>
        <v>968121</v>
      </c>
      <c r="R23" s="443" t="s">
        <v>429</v>
      </c>
      <c r="S23" s="443" t="s">
        <v>429</v>
      </c>
      <c r="T23" s="443">
        <v>0</v>
      </c>
      <c r="U23" s="443">
        <f>Q23+T23</f>
        <v>968121</v>
      </c>
      <c r="V23" s="443">
        <f>'[12]Adjusted Amounts'!$Q$156</f>
        <v>-8370</v>
      </c>
      <c r="W23" s="767">
        <f>SUM(U23:V23)</f>
        <v>959751</v>
      </c>
      <c r="X23" s="767">
        <f>W23/12</f>
        <v>79979.25</v>
      </c>
      <c r="Y23" s="767">
        <f t="shared" ref="Y23" si="34">N23+W23</f>
        <v>1971745.977961635</v>
      </c>
      <c r="Z23" s="767">
        <f t="shared" ref="Z23" si="35">O23+X23</f>
        <v>164312.16483013623</v>
      </c>
    </row>
    <row r="24" spans="1:26" s="8" customFormat="1" ht="39.75" customHeight="1">
      <c r="A24" s="785"/>
      <c r="B24" s="785" t="s">
        <v>384</v>
      </c>
      <c r="C24" s="786">
        <f>SUM(C21:C23)</f>
        <v>2831</v>
      </c>
      <c r="D24" s="787"/>
      <c r="E24" s="787">
        <f>SUM(E21:E23)</f>
        <v>10304824</v>
      </c>
      <c r="F24" s="787"/>
      <c r="G24" s="787">
        <f>SUM(G21:G23)</f>
        <v>2207205.372841001</v>
      </c>
      <c r="H24" s="787">
        <f>SUM(H21:H23)</f>
        <v>12512029.372841001</v>
      </c>
      <c r="I24" s="787"/>
      <c r="J24" s="787"/>
      <c r="K24" s="787"/>
      <c r="L24" s="787"/>
      <c r="M24" s="787"/>
      <c r="N24" s="787"/>
      <c r="O24" s="787"/>
      <c r="P24" s="787"/>
      <c r="Q24" s="787"/>
      <c r="R24" s="787"/>
      <c r="S24" s="787"/>
      <c r="T24" s="787"/>
      <c r="U24" s="787"/>
      <c r="V24" s="787"/>
      <c r="W24" s="787"/>
      <c r="X24" s="787"/>
      <c r="Y24" s="787"/>
      <c r="Z24" s="787"/>
    </row>
    <row r="25" spans="1:26" ht="6.75" customHeight="1">
      <c r="A25" s="497"/>
      <c r="B25" s="497"/>
      <c r="C25" s="498"/>
      <c r="D25" s="499"/>
      <c r="E25" s="499"/>
      <c r="F25" s="499"/>
      <c r="G25" s="499"/>
      <c r="H25" s="499"/>
      <c r="I25" s="499"/>
      <c r="J25" s="499"/>
      <c r="K25" s="499"/>
      <c r="L25" s="499"/>
      <c r="M25" s="499"/>
      <c r="N25" s="499"/>
      <c r="O25" s="499"/>
      <c r="P25" s="499"/>
      <c r="Q25" s="499"/>
      <c r="R25" s="499"/>
      <c r="S25" s="499"/>
      <c r="T25" s="499"/>
      <c r="U25" s="499"/>
      <c r="V25" s="499"/>
      <c r="W25" s="499"/>
      <c r="X25" s="499"/>
      <c r="Y25" s="499"/>
      <c r="Z25" s="499"/>
    </row>
    <row r="26" spans="1:26" s="107" customFormat="1" ht="45">
      <c r="A26" s="596"/>
      <c r="B26" s="596" t="s">
        <v>933</v>
      </c>
      <c r="C26" s="1237">
        <f>'2-1-13 SIS'!C15+'2-1-13 SIS'!R15</f>
        <v>40069</v>
      </c>
      <c r="D26" s="459">
        <f>'Table 3 Levels 1&amp;2'!$AL$16</f>
        <v>4395.6154516889328</v>
      </c>
      <c r="E26" s="443">
        <f>ROUND(C26*D26,0)</f>
        <v>176127916</v>
      </c>
      <c r="F26" s="713">
        <v>744.76</v>
      </c>
      <c r="G26" s="443">
        <f>F26*C26</f>
        <v>29841788.440000001</v>
      </c>
      <c r="H26" s="761">
        <f>E26+G26</f>
        <v>205969704.44</v>
      </c>
      <c r="I26" s="761"/>
      <c r="J26" s="761"/>
      <c r="K26" s="761"/>
      <c r="L26" s="761"/>
      <c r="M26" s="501" t="s">
        <v>259</v>
      </c>
      <c r="N26" s="561" t="s">
        <v>259</v>
      </c>
      <c r="O26" s="561"/>
      <c r="P26" s="501"/>
      <c r="Q26" s="501"/>
      <c r="R26" s="501"/>
      <c r="S26" s="501"/>
      <c r="T26" s="501"/>
      <c r="U26" s="501"/>
      <c r="V26" s="501"/>
      <c r="W26" s="766"/>
      <c r="X26" s="766"/>
      <c r="Y26" s="766"/>
      <c r="Z26" s="766"/>
    </row>
    <row r="27" spans="1:26" s="75" customFormat="1" ht="6" customHeight="1">
      <c r="A27" s="490"/>
      <c r="B27" s="490"/>
      <c r="C27" s="491"/>
      <c r="D27" s="492"/>
      <c r="E27" s="493"/>
      <c r="F27" s="714"/>
      <c r="G27" s="493"/>
      <c r="H27" s="714"/>
      <c r="I27" s="714"/>
      <c r="J27" s="714"/>
      <c r="K27" s="714"/>
      <c r="L27" s="714"/>
      <c r="M27" s="493"/>
      <c r="N27" s="563"/>
      <c r="O27" s="563"/>
      <c r="P27" s="493"/>
      <c r="Q27" s="493"/>
      <c r="R27" s="493"/>
      <c r="S27" s="493"/>
      <c r="T27" s="493"/>
      <c r="U27" s="493"/>
      <c r="V27" s="493"/>
      <c r="W27" s="493"/>
      <c r="X27" s="493"/>
      <c r="Y27" s="493"/>
      <c r="Z27" s="493"/>
    </row>
    <row r="28" spans="1:26" ht="32.25" customHeight="1">
      <c r="A28" s="594">
        <v>396201</v>
      </c>
      <c r="B28" s="795" t="s">
        <v>404</v>
      </c>
      <c r="C28" s="1236">
        <f>'[9]ALL-Reformatted'!$F$14</f>
        <v>147</v>
      </c>
      <c r="D28" s="459">
        <f>'Table 3 Levels 1&amp;2'!$AL$16</f>
        <v>4395.6154516889328</v>
      </c>
      <c r="E28" s="443">
        <f>ROUND(C28*D28,0)</f>
        <v>646155</v>
      </c>
      <c r="F28" s="713">
        <f>F26</f>
        <v>744.76</v>
      </c>
      <c r="G28" s="443">
        <f>F28*C28</f>
        <v>109479.72</v>
      </c>
      <c r="H28" s="761">
        <f>E28+G28</f>
        <v>755634.72</v>
      </c>
      <c r="I28" s="761" t="s">
        <v>429</v>
      </c>
      <c r="J28" s="761" t="s">
        <v>429</v>
      </c>
      <c r="K28" s="761">
        <v>0</v>
      </c>
      <c r="L28" s="761">
        <f>H28+K28</f>
        <v>755634.72</v>
      </c>
      <c r="M28" s="761">
        <f>'[12]Adjusted Amounts'!$I$151</f>
        <v>-21573.363555057345</v>
      </c>
      <c r="N28" s="561">
        <f>SUM(L28:M28)</f>
        <v>734061.35644494265</v>
      </c>
      <c r="O28" s="561">
        <f>N28/12</f>
        <v>61171.779703745218</v>
      </c>
      <c r="P28" s="761">
        <f>'[11]FY2013-14 Initial'!$D$16</f>
        <v>3938</v>
      </c>
      <c r="Q28" s="443">
        <f>P28*C28</f>
        <v>578886</v>
      </c>
      <c r="R28" s="443" t="s">
        <v>429</v>
      </c>
      <c r="S28" s="443" t="s">
        <v>429</v>
      </c>
      <c r="T28" s="443">
        <v>0</v>
      </c>
      <c r="U28" s="443">
        <f>Q28+T28</f>
        <v>578886</v>
      </c>
      <c r="V28" s="443">
        <f>'[12]Adjusted Amounts'!$Q$151</f>
        <v>-13779.5</v>
      </c>
      <c r="W28" s="767">
        <f>SUM(U28:V28)</f>
        <v>565106.5</v>
      </c>
      <c r="X28" s="767">
        <f>W28/12</f>
        <v>47092.208333333336</v>
      </c>
      <c r="Y28" s="767">
        <f t="shared" ref="Y28:Y29" si="36">N28+W28</f>
        <v>1299167.8564449428</v>
      </c>
      <c r="Z28" s="767">
        <f t="shared" ref="Z28:Z29" si="37">O28+X28</f>
        <v>108263.98803707855</v>
      </c>
    </row>
    <row r="29" spans="1:26" ht="33.75" customHeight="1">
      <c r="A29" s="594">
        <v>371001</v>
      </c>
      <c r="B29" s="1124" t="s">
        <v>346</v>
      </c>
      <c r="C29" s="1236">
        <f>'[9]ALL-Reformatted'!$D$14</f>
        <v>508</v>
      </c>
      <c r="D29" s="459">
        <f>'Table 3 Levels 1&amp;2'!$AL$16</f>
        <v>4395.6154516889328</v>
      </c>
      <c r="E29" s="443">
        <f>ROUND(C29*D29,0)</f>
        <v>2232973</v>
      </c>
      <c r="F29" s="713">
        <f>F26</f>
        <v>744.76</v>
      </c>
      <c r="G29" s="443">
        <f>F29*C29</f>
        <v>378338.08</v>
      </c>
      <c r="H29" s="761">
        <f>E29+G29</f>
        <v>2611311.08</v>
      </c>
      <c r="I29" s="761">
        <f>-H29*$I$5</f>
        <v>-45697.943900000006</v>
      </c>
      <c r="J29" s="761">
        <f>-H29*$J$5</f>
        <v>-6528.2777000000006</v>
      </c>
      <c r="K29" s="761">
        <f>I29+J29</f>
        <v>-52226.221600000004</v>
      </c>
      <c r="L29" s="761">
        <f>H29+K29</f>
        <v>2559084.8584000003</v>
      </c>
      <c r="M29" s="761">
        <f>'[12]Adjusted Amounts'!$I$224</f>
        <v>7694.5069238298493</v>
      </c>
      <c r="N29" s="561">
        <f>SUM(L29:M29)</f>
        <v>2566779.3653238299</v>
      </c>
      <c r="O29" s="561">
        <f>N29/12</f>
        <v>213898.2804436525</v>
      </c>
      <c r="P29" s="761">
        <f>'[11]FY2013-14 Initial'!$D$16</f>
        <v>3938</v>
      </c>
      <c r="Q29" s="443">
        <f>P29*C29</f>
        <v>2000504</v>
      </c>
      <c r="R29" s="443">
        <f>-Q29*$R$5</f>
        <v>-35008.82</v>
      </c>
      <c r="S29" s="443">
        <f>-Q29*$S$5</f>
        <v>-5001.26</v>
      </c>
      <c r="T29" s="443">
        <f>R29+S29</f>
        <v>-40010.080000000002</v>
      </c>
      <c r="U29" s="443">
        <f>Q29+T29</f>
        <v>1960493.92</v>
      </c>
      <c r="V29" s="443">
        <f>'[12]Adjusted Amounts'!$Q$224</f>
        <v>5860.5</v>
      </c>
      <c r="W29" s="767">
        <f>SUM(U29:V29)</f>
        <v>1966354.42</v>
      </c>
      <c r="X29" s="767">
        <f>W29/12</f>
        <v>163862.86833333332</v>
      </c>
      <c r="Y29" s="767">
        <f t="shared" si="36"/>
        <v>4533133.7853238303</v>
      </c>
      <c r="Z29" s="767">
        <f t="shared" si="37"/>
        <v>377761.14877698582</v>
      </c>
    </row>
    <row r="30" spans="1:26" s="8" customFormat="1" ht="32.25" customHeight="1">
      <c r="A30" s="439"/>
      <c r="B30" s="439" t="s">
        <v>257</v>
      </c>
      <c r="C30" s="494">
        <f>SUM(C28:C29)</f>
        <v>655</v>
      </c>
      <c r="D30" s="495"/>
      <c r="E30" s="496">
        <f>SUM(E28:E29)</f>
        <v>2879128</v>
      </c>
      <c r="F30" s="715"/>
      <c r="G30" s="496">
        <f t="shared" ref="G30:O30" si="38">SUM(G28:G29)</f>
        <v>487817.80000000005</v>
      </c>
      <c r="H30" s="715">
        <f t="shared" si="38"/>
        <v>3366945.8</v>
      </c>
      <c r="I30" s="715">
        <f t="shared" si="38"/>
        <v>-45697.943900000006</v>
      </c>
      <c r="J30" s="715">
        <f t="shared" si="38"/>
        <v>-6528.2777000000006</v>
      </c>
      <c r="K30" s="715">
        <f t="shared" si="38"/>
        <v>-52226.221600000004</v>
      </c>
      <c r="L30" s="715">
        <f t="shared" si="38"/>
        <v>3314719.5784</v>
      </c>
      <c r="M30" s="496">
        <f t="shared" si="38"/>
        <v>-13878.856631227496</v>
      </c>
      <c r="N30" s="562">
        <f t="shared" si="38"/>
        <v>3300840.7217687727</v>
      </c>
      <c r="O30" s="562">
        <f t="shared" si="38"/>
        <v>275070.06014739774</v>
      </c>
      <c r="P30" s="496"/>
      <c r="Q30" s="496">
        <f>SUM(Q28:Q29)</f>
        <v>2579390</v>
      </c>
      <c r="R30" s="496">
        <f t="shared" ref="R30:Z30" si="39">SUM(R28:R29)</f>
        <v>-35008.82</v>
      </c>
      <c r="S30" s="496">
        <f t="shared" si="39"/>
        <v>-5001.26</v>
      </c>
      <c r="T30" s="496">
        <f t="shared" si="39"/>
        <v>-40010.080000000002</v>
      </c>
      <c r="U30" s="496">
        <f t="shared" si="39"/>
        <v>2539379.92</v>
      </c>
      <c r="V30" s="496">
        <f t="shared" si="39"/>
        <v>-7919</v>
      </c>
      <c r="W30" s="768">
        <f t="shared" si="39"/>
        <v>2531460.92</v>
      </c>
      <c r="X30" s="768">
        <f t="shared" si="39"/>
        <v>210955.07666666666</v>
      </c>
      <c r="Y30" s="768">
        <f t="shared" si="39"/>
        <v>5832301.6417687731</v>
      </c>
      <c r="Z30" s="768">
        <f t="shared" si="39"/>
        <v>486025.13681406435</v>
      </c>
    </row>
    <row r="31" spans="1:26" s="8" customFormat="1" ht="33.75" customHeight="1">
      <c r="A31" s="785"/>
      <c r="B31" s="785" t="s">
        <v>385</v>
      </c>
      <c r="C31" s="786">
        <f>C30+C26</f>
        <v>40724</v>
      </c>
      <c r="D31" s="788"/>
      <c r="E31" s="787">
        <f>E30+E26</f>
        <v>179007044</v>
      </c>
      <c r="F31" s="787"/>
      <c r="G31" s="787">
        <f>G30+G26</f>
        <v>30329606.240000002</v>
      </c>
      <c r="H31" s="787">
        <f>H30+H26</f>
        <v>209336650.24000001</v>
      </c>
      <c r="I31" s="787"/>
      <c r="J31" s="787"/>
      <c r="K31" s="787"/>
      <c r="L31" s="787"/>
      <c r="M31" s="787"/>
      <c r="N31" s="787"/>
      <c r="O31" s="787"/>
      <c r="P31" s="787"/>
      <c r="Q31" s="787"/>
      <c r="R31" s="787"/>
      <c r="S31" s="787"/>
      <c r="T31" s="787"/>
      <c r="U31" s="787"/>
      <c r="V31" s="787"/>
      <c r="W31" s="787"/>
      <c r="X31" s="787"/>
      <c r="Y31" s="787"/>
      <c r="Z31" s="787"/>
    </row>
    <row r="32" spans="1:26" s="710" customFormat="1" ht="6.75" customHeight="1">
      <c r="A32" s="718"/>
      <c r="B32" s="718"/>
      <c r="C32" s="719"/>
      <c r="D32" s="720"/>
      <c r="E32" s="721"/>
      <c r="F32" s="721"/>
      <c r="G32" s="721"/>
      <c r="H32" s="765"/>
      <c r="I32" s="765"/>
      <c r="J32" s="765"/>
      <c r="K32" s="765"/>
      <c r="L32" s="765"/>
      <c r="M32" s="721"/>
      <c r="N32" s="721"/>
      <c r="O32" s="721"/>
      <c r="P32" s="721"/>
      <c r="Q32" s="721"/>
      <c r="R32" s="721"/>
      <c r="S32" s="721"/>
      <c r="T32" s="721"/>
      <c r="U32" s="721"/>
      <c r="V32" s="721"/>
      <c r="W32" s="721"/>
      <c r="X32" s="721"/>
      <c r="Y32" s="721"/>
      <c r="Z32" s="721"/>
    </row>
    <row r="33" spans="1:26" s="710" customFormat="1" ht="30.75" customHeight="1">
      <c r="A33" s="596"/>
      <c r="B33" s="596" t="s">
        <v>934</v>
      </c>
      <c r="C33" s="1237">
        <f>'2-1-13 SIS'!C52+'2-1-13 SIS'!R52</f>
        <v>746</v>
      </c>
      <c r="D33" s="443">
        <f>'Table 3 Levels 1&amp;2'!AL53</f>
        <v>5644.6599115241634</v>
      </c>
      <c r="E33" s="443">
        <f>ROUND(C33*D33,0)</f>
        <v>4210916</v>
      </c>
      <c r="F33" s="502">
        <v>728.06</v>
      </c>
      <c r="G33" s="502">
        <f>F33*C33</f>
        <v>543132.76</v>
      </c>
      <c r="H33" s="760">
        <f>E33+G33</f>
        <v>4754048.76</v>
      </c>
      <c r="I33" s="760"/>
      <c r="J33" s="760"/>
      <c r="K33" s="761"/>
      <c r="L33" s="760"/>
      <c r="M33" s="501" t="s">
        <v>259</v>
      </c>
      <c r="N33" s="560" t="s">
        <v>259</v>
      </c>
      <c r="O33" s="560"/>
      <c r="P33" s="501"/>
      <c r="Q33" s="501"/>
      <c r="R33" s="501"/>
      <c r="S33" s="501"/>
      <c r="T33" s="501"/>
      <c r="U33" s="501"/>
      <c r="V33" s="501"/>
      <c r="W33" s="766"/>
      <c r="X33" s="766"/>
      <c r="Y33" s="766"/>
      <c r="Z33" s="766"/>
    </row>
    <row r="34" spans="1:26" s="710" customFormat="1" ht="6.75" customHeight="1">
      <c r="A34" s="490"/>
      <c r="B34" s="490"/>
      <c r="C34" s="491"/>
      <c r="D34" s="492"/>
      <c r="E34" s="493"/>
      <c r="F34" s="493"/>
      <c r="G34" s="493"/>
      <c r="H34" s="714"/>
      <c r="I34" s="714"/>
      <c r="J34" s="714"/>
      <c r="K34" s="714"/>
      <c r="L34" s="714"/>
      <c r="M34" s="493"/>
      <c r="N34" s="563"/>
      <c r="O34" s="563"/>
      <c r="P34" s="493"/>
      <c r="Q34" s="493"/>
      <c r="R34" s="493"/>
      <c r="S34" s="493"/>
      <c r="T34" s="493"/>
      <c r="U34" s="493"/>
      <c r="V34" s="493"/>
      <c r="W34" s="493"/>
      <c r="X34" s="493"/>
      <c r="Y34" s="493"/>
      <c r="Z34" s="493"/>
    </row>
    <row r="35" spans="1:26" s="710" customFormat="1" ht="34.5" customHeight="1">
      <c r="A35" s="595">
        <v>396200</v>
      </c>
      <c r="B35" s="794" t="s">
        <v>387</v>
      </c>
      <c r="C35" s="442">
        <f>'[9]ALL-Reformatted'!$F$51</f>
        <v>316</v>
      </c>
      <c r="D35" s="443">
        <f>'Table 3 Levels 1&amp;2'!AL53</f>
        <v>5644.6599115241634</v>
      </c>
      <c r="E35" s="443">
        <f>ROUND(C35*D35,0)</f>
        <v>1783713</v>
      </c>
      <c r="F35" s="443">
        <v>728.06</v>
      </c>
      <c r="G35" s="443">
        <f>F35*C35</f>
        <v>230066.96</v>
      </c>
      <c r="H35" s="761">
        <f>E35+G35</f>
        <v>2013779.96</v>
      </c>
      <c r="I35" s="761" t="s">
        <v>429</v>
      </c>
      <c r="J35" s="761" t="s">
        <v>429</v>
      </c>
      <c r="K35" s="761">
        <v>0</v>
      </c>
      <c r="L35" s="761">
        <f>H35+K35</f>
        <v>2013779.96</v>
      </c>
      <c r="M35" s="761">
        <f>'[12]Adjusted Amounts'!$I$150</f>
        <v>-25753.519844584098</v>
      </c>
      <c r="N35" s="561">
        <f>SUM(L35:M35)</f>
        <v>1988026.4401554158</v>
      </c>
      <c r="O35" s="561">
        <f>N35/12</f>
        <v>165668.87001295132</v>
      </c>
      <c r="P35" s="761">
        <f>'[11]FY2013-14 Initial'!$D$53</f>
        <v>1596</v>
      </c>
      <c r="Q35" s="443">
        <f>P35*C35</f>
        <v>504336</v>
      </c>
      <c r="R35" s="443" t="s">
        <v>429</v>
      </c>
      <c r="S35" s="443" t="s">
        <v>429</v>
      </c>
      <c r="T35" s="443">
        <v>0</v>
      </c>
      <c r="U35" s="443">
        <f>Q35+T35</f>
        <v>504336</v>
      </c>
      <c r="V35" s="443">
        <f>'[12]Adjusted Amounts'!$Q$150</f>
        <v>-1243</v>
      </c>
      <c r="W35" s="767">
        <f>SUM(U35:V35)</f>
        <v>503093</v>
      </c>
      <c r="X35" s="767">
        <f>W35/12</f>
        <v>41924.416666666664</v>
      </c>
      <c r="Y35" s="767">
        <f t="shared" ref="Y35" si="40">N35+W35</f>
        <v>2491119.4401554158</v>
      </c>
      <c r="Z35" s="767">
        <f t="shared" ref="Z35" si="41">O35+X35</f>
        <v>207593.28667961797</v>
      </c>
    </row>
    <row r="36" spans="1:26" s="710" customFormat="1" ht="40.5" customHeight="1">
      <c r="A36" s="785"/>
      <c r="B36" s="785" t="s">
        <v>386</v>
      </c>
      <c r="C36" s="786">
        <f>SUM(C33:C35)</f>
        <v>1062</v>
      </c>
      <c r="D36" s="787"/>
      <c r="E36" s="787">
        <f>SUM(E33:E35)</f>
        <v>5994629</v>
      </c>
      <c r="F36" s="787"/>
      <c r="G36" s="787">
        <f>SUM(G33:G35)</f>
        <v>773199.72</v>
      </c>
      <c r="H36" s="787">
        <f>SUM(H33:H35)</f>
        <v>6767828.7199999997</v>
      </c>
      <c r="I36" s="787"/>
      <c r="J36" s="787"/>
      <c r="K36" s="787"/>
      <c r="L36" s="787"/>
      <c r="M36" s="787"/>
      <c r="N36" s="787"/>
      <c r="O36" s="787"/>
      <c r="P36" s="787"/>
      <c r="Q36" s="787"/>
      <c r="R36" s="787"/>
      <c r="S36" s="787"/>
      <c r="T36" s="787"/>
      <c r="U36" s="787"/>
      <c r="V36" s="787"/>
      <c r="W36" s="787"/>
      <c r="X36" s="787"/>
      <c r="Y36" s="787"/>
      <c r="Z36" s="787"/>
    </row>
    <row r="37" spans="1:26" s="710" customFormat="1" ht="5.25" customHeight="1">
      <c r="A37" s="718"/>
      <c r="B37" s="718"/>
      <c r="C37" s="719"/>
      <c r="D37" s="720"/>
      <c r="E37" s="721"/>
      <c r="F37" s="721"/>
      <c r="G37" s="721"/>
      <c r="H37" s="721"/>
      <c r="I37" s="721"/>
      <c r="J37" s="721"/>
      <c r="K37" s="721"/>
      <c r="L37" s="721"/>
      <c r="M37" s="721"/>
      <c r="N37" s="721"/>
      <c r="O37" s="721"/>
      <c r="P37" s="721"/>
      <c r="Q37" s="721"/>
      <c r="R37" s="721"/>
      <c r="S37" s="721"/>
      <c r="T37" s="721"/>
      <c r="U37" s="721"/>
      <c r="V37" s="721"/>
      <c r="W37" s="721"/>
      <c r="X37" s="721"/>
      <c r="Y37" s="721"/>
      <c r="Z37" s="721"/>
    </row>
    <row r="38" spans="1:26" s="8" customFormat="1" ht="33.75" customHeight="1">
      <c r="A38" s="439"/>
      <c r="B38" s="439" t="s">
        <v>258</v>
      </c>
      <c r="C38" s="504">
        <f>C18+C23+C30+C35</f>
        <v>3450</v>
      </c>
      <c r="D38" s="565"/>
      <c r="E38" s="566">
        <f>E18+E23+E30+E35</f>
        <v>12951454</v>
      </c>
      <c r="F38" s="566"/>
      <c r="G38" s="566">
        <f t="shared" ref="G38:N38" si="42">G18+G23+G30+G35</f>
        <v>2699706.9328586301</v>
      </c>
      <c r="H38" s="762">
        <f t="shared" si="42"/>
        <v>15651160.932858631</v>
      </c>
      <c r="I38" s="762">
        <f>I18+I30</f>
        <v>-81484.190536201786</v>
      </c>
      <c r="J38" s="762">
        <f>J18+J30</f>
        <v>-11640.598648028827</v>
      </c>
      <c r="K38" s="762">
        <f t="shared" si="42"/>
        <v>-93124.789184230613</v>
      </c>
      <c r="L38" s="762">
        <f t="shared" si="42"/>
        <v>15558036.1436744</v>
      </c>
      <c r="M38" s="496">
        <f t="shared" si="42"/>
        <v>-199538.92918574315</v>
      </c>
      <c r="N38" s="567">
        <f t="shared" si="42"/>
        <v>15358497.214488659</v>
      </c>
      <c r="O38" s="567">
        <f t="shared" ref="O38:Z38" si="43">O18+O23+O30+O35</f>
        <v>1279874.7678740548</v>
      </c>
      <c r="P38" s="566"/>
      <c r="Q38" s="566">
        <f t="shared" si="43"/>
        <v>17292567</v>
      </c>
      <c r="R38" s="566">
        <f>R18+R30</f>
        <v>-86237.095000000001</v>
      </c>
      <c r="S38" s="566">
        <f>S18+S30</f>
        <v>-12319.584999999999</v>
      </c>
      <c r="T38" s="566">
        <f t="shared" si="43"/>
        <v>-98556.68</v>
      </c>
      <c r="U38" s="566">
        <f t="shared" si="43"/>
        <v>17194010.32</v>
      </c>
      <c r="V38" s="566">
        <f t="shared" si="43"/>
        <v>-160406</v>
      </c>
      <c r="W38" s="770">
        <f t="shared" si="43"/>
        <v>17033604.32</v>
      </c>
      <c r="X38" s="770">
        <f>X18+X23+X30+X35</f>
        <v>1419467.0266666666</v>
      </c>
      <c r="Y38" s="770">
        <f t="shared" si="43"/>
        <v>32392101.534488656</v>
      </c>
      <c r="Z38" s="770">
        <f t="shared" si="43"/>
        <v>2699341.7945407215</v>
      </c>
    </row>
    <row r="39" spans="1:26" s="75" customFormat="1" ht="8.25" customHeight="1">
      <c r="A39" s="497"/>
      <c r="B39" s="497"/>
      <c r="C39" s="498"/>
      <c r="D39" s="564"/>
      <c r="E39" s="499"/>
      <c r="F39" s="499"/>
      <c r="G39" s="499"/>
      <c r="H39" s="499"/>
      <c r="I39" s="499"/>
      <c r="J39" s="499"/>
      <c r="K39" s="499"/>
      <c r="L39" s="499"/>
      <c r="M39" s="499"/>
      <c r="N39" s="499"/>
      <c r="O39" s="499"/>
      <c r="P39" s="499"/>
      <c r="Q39" s="499"/>
      <c r="R39" s="499"/>
      <c r="S39" s="499"/>
      <c r="T39" s="499"/>
      <c r="U39" s="499"/>
      <c r="V39" s="499"/>
      <c r="W39" s="499"/>
      <c r="X39" s="499"/>
      <c r="Y39" s="499"/>
      <c r="Z39" s="499"/>
    </row>
    <row r="40" spans="1:26" s="8" customFormat="1" ht="38.25" customHeight="1">
      <c r="A40" s="439"/>
      <c r="B40" s="439" t="s">
        <v>426</v>
      </c>
      <c r="C40" s="504"/>
      <c r="D40" s="565"/>
      <c r="E40" s="566"/>
      <c r="F40" s="566"/>
      <c r="G40" s="566"/>
      <c r="H40" s="762"/>
      <c r="I40" s="715"/>
      <c r="J40" s="715">
        <f>-J38</f>
        <v>11640.598648028827</v>
      </c>
      <c r="K40" s="715">
        <f>SUM(I40:J40)</f>
        <v>11640.598648028827</v>
      </c>
      <c r="L40" s="715"/>
      <c r="M40" s="496"/>
      <c r="N40" s="562"/>
      <c r="O40" s="562"/>
      <c r="P40" s="566"/>
      <c r="Q40" s="566"/>
      <c r="R40" s="566"/>
      <c r="S40" s="566">
        <f>-S38</f>
        <v>12319.584999999999</v>
      </c>
      <c r="T40" s="566">
        <f>SUM(R40:S40)</f>
        <v>12319.584999999999</v>
      </c>
      <c r="U40" s="566"/>
      <c r="V40" s="566"/>
      <c r="W40" s="566"/>
      <c r="X40" s="566"/>
      <c r="Y40" s="566"/>
      <c r="Z40" s="566"/>
    </row>
    <row r="41" spans="1:26" s="75" customFormat="1" ht="8.25" customHeight="1">
      <c r="A41" s="497"/>
      <c r="B41" s="497"/>
      <c r="C41" s="498"/>
      <c r="D41" s="564"/>
      <c r="E41" s="499"/>
      <c r="F41" s="499"/>
      <c r="G41" s="499"/>
      <c r="H41" s="499"/>
      <c r="I41" s="499"/>
      <c r="J41" s="499"/>
      <c r="K41" s="499"/>
      <c r="L41" s="499"/>
      <c r="M41" s="499"/>
      <c r="N41" s="499"/>
      <c r="O41" s="499"/>
      <c r="P41" s="499"/>
      <c r="Q41" s="499"/>
      <c r="R41" s="499"/>
      <c r="S41" s="499"/>
      <c r="T41" s="499"/>
      <c r="U41" s="499"/>
      <c r="V41" s="499"/>
      <c r="W41" s="499"/>
      <c r="X41" s="499"/>
      <c r="Y41" s="499"/>
      <c r="Z41" s="499"/>
    </row>
    <row r="42" spans="1:26" s="8" customFormat="1" ht="38.25" customHeight="1">
      <c r="A42" s="439"/>
      <c r="B42" s="439" t="s">
        <v>427</v>
      </c>
      <c r="C42" s="504"/>
      <c r="D42" s="565"/>
      <c r="E42" s="566"/>
      <c r="F42" s="566"/>
      <c r="G42" s="566"/>
      <c r="H42" s="762"/>
      <c r="I42" s="715">
        <f>-I38</f>
        <v>81484.190536201786</v>
      </c>
      <c r="J42" s="715"/>
      <c r="K42" s="715">
        <f>SUM(I42:J42)</f>
        <v>81484.190536201786</v>
      </c>
      <c r="L42" s="715"/>
      <c r="M42" s="496"/>
      <c r="N42" s="562"/>
      <c r="O42" s="562"/>
      <c r="P42" s="566"/>
      <c r="Q42" s="566"/>
      <c r="R42" s="566">
        <f>-R38</f>
        <v>86237.095000000001</v>
      </c>
      <c r="S42" s="566"/>
      <c r="T42" s="566">
        <f>SUM(R42:S42)</f>
        <v>86237.095000000001</v>
      </c>
      <c r="U42" s="566"/>
      <c r="V42" s="566"/>
      <c r="W42" s="566"/>
      <c r="X42" s="566"/>
      <c r="Y42" s="566"/>
      <c r="Z42" s="566"/>
    </row>
    <row r="43" spans="1:26" s="75" customFormat="1" ht="8.25" customHeight="1">
      <c r="A43" s="497"/>
      <c r="B43" s="497"/>
      <c r="C43" s="498"/>
      <c r="D43" s="564"/>
      <c r="E43" s="499"/>
      <c r="F43" s="499"/>
      <c r="G43" s="499"/>
      <c r="H43" s="499"/>
      <c r="I43" s="499"/>
      <c r="J43" s="499"/>
      <c r="K43" s="499"/>
      <c r="L43" s="499"/>
      <c r="M43" s="499"/>
      <c r="N43" s="499"/>
      <c r="O43" s="499"/>
      <c r="P43" s="499"/>
      <c r="Q43" s="499"/>
      <c r="R43" s="499">
        <f>-R38</f>
        <v>86237.095000000001</v>
      </c>
      <c r="S43" s="499"/>
      <c r="T43" s="499"/>
      <c r="U43" s="499"/>
      <c r="V43" s="499"/>
      <c r="W43" s="499"/>
      <c r="X43" s="499"/>
      <c r="Y43" s="499"/>
      <c r="Z43" s="499"/>
    </row>
    <row r="44" spans="1:26" s="8" customFormat="1" ht="25.5" customHeight="1">
      <c r="A44" s="439"/>
      <c r="B44" s="439" t="s">
        <v>175</v>
      </c>
      <c r="C44" s="504"/>
      <c r="D44" s="565"/>
      <c r="E44" s="566"/>
      <c r="F44" s="566"/>
      <c r="G44" s="566"/>
      <c r="H44" s="762"/>
      <c r="I44" s="715">
        <f>SUM(I38:I42)</f>
        <v>0</v>
      </c>
      <c r="J44" s="715">
        <f>SUM(J38:J42)</f>
        <v>0</v>
      </c>
      <c r="K44" s="715">
        <f>SUM(K38:K42)</f>
        <v>0</v>
      </c>
      <c r="L44" s="715"/>
      <c r="M44" s="496"/>
      <c r="N44" s="562"/>
      <c r="O44" s="562"/>
      <c r="P44" s="566"/>
      <c r="Q44" s="566"/>
      <c r="R44" s="566">
        <f>SUM(R38:R42)</f>
        <v>0</v>
      </c>
      <c r="S44" s="566">
        <f>SUM(S38:S42)</f>
        <v>0</v>
      </c>
      <c r="T44" s="566">
        <f>SUM(T38:T42)</f>
        <v>0</v>
      </c>
      <c r="U44" s="566"/>
      <c r="V44" s="566"/>
      <c r="W44" s="566"/>
      <c r="X44" s="566"/>
      <c r="Y44" s="566"/>
      <c r="Z44" s="566"/>
    </row>
    <row r="45" spans="1:26" ht="24" customHeight="1">
      <c r="E45" s="49"/>
      <c r="F45" s="444"/>
      <c r="G45" s="444"/>
      <c r="H45" s="444"/>
      <c r="I45" s="444"/>
      <c r="J45" s="444"/>
      <c r="K45" s="444"/>
      <c r="L45" s="444"/>
      <c r="M45" s="444"/>
      <c r="N45" s="444"/>
      <c r="O45" s="444"/>
      <c r="P45" s="444"/>
      <c r="Q45" s="444"/>
      <c r="R45" s="444"/>
      <c r="S45" s="444"/>
      <c r="T45" s="444"/>
      <c r="U45" s="444"/>
      <c r="V45" s="793"/>
      <c r="W45" s="444"/>
      <c r="X45" s="444"/>
    </row>
    <row r="46" spans="1:26" ht="20.25">
      <c r="B46" s="1690"/>
      <c r="C46" s="1690"/>
      <c r="D46" s="1690"/>
      <c r="E46" s="1690"/>
      <c r="F46" s="1690"/>
      <c r="G46" s="1690"/>
      <c r="H46" s="1690"/>
      <c r="I46" s="755"/>
      <c r="J46" s="755"/>
      <c r="K46" s="755"/>
      <c r="L46" s="755"/>
      <c r="M46" s="754"/>
      <c r="N46" s="755"/>
      <c r="O46" s="754"/>
      <c r="P46" s="754"/>
      <c r="Q46" s="754"/>
      <c r="R46" s="754"/>
      <c r="S46" s="754"/>
      <c r="T46" s="754"/>
      <c r="U46" s="754"/>
      <c r="V46" s="754"/>
      <c r="W46" s="754"/>
      <c r="X46" s="754"/>
    </row>
    <row r="47" spans="1:26" ht="23.25" customHeight="1">
      <c r="A47" s="756"/>
      <c r="B47" s="756"/>
      <c r="C47" s="1684"/>
      <c r="D47" s="1684"/>
      <c r="E47" s="1684"/>
      <c r="F47" s="1684"/>
      <c r="G47" s="1684"/>
      <c r="H47" s="1684"/>
      <c r="I47" s="1684"/>
      <c r="J47" s="1684"/>
      <c r="K47" s="1684"/>
      <c r="L47" s="1684"/>
      <c r="M47" s="1684"/>
      <c r="N47" s="1684"/>
      <c r="O47" s="341"/>
      <c r="P47" s="341"/>
      <c r="Q47" s="342"/>
    </row>
    <row r="48" spans="1:26" ht="19.5" customHeight="1"/>
    <row r="50" spans="6:6">
      <c r="F50" s="59"/>
    </row>
  </sheetData>
  <mergeCells count="28">
    <mergeCell ref="A4:A5"/>
    <mergeCell ref="O4:O5"/>
    <mergeCell ref="Y4:Y5"/>
    <mergeCell ref="Z4:Z5"/>
    <mergeCell ref="W4:W5"/>
    <mergeCell ref="X4:X5"/>
    <mergeCell ref="P4:P5"/>
    <mergeCell ref="Q4:Q5"/>
    <mergeCell ref="B2:N2"/>
    <mergeCell ref="F3:G3"/>
    <mergeCell ref="I3:K3"/>
    <mergeCell ref="C4:C5"/>
    <mergeCell ref="G4:G5"/>
    <mergeCell ref="D4:D5"/>
    <mergeCell ref="R3:T3"/>
    <mergeCell ref="T4:T5"/>
    <mergeCell ref="U4:U5"/>
    <mergeCell ref="V4:V5"/>
    <mergeCell ref="B46:H46"/>
    <mergeCell ref="B4:B5"/>
    <mergeCell ref="L4:L5"/>
    <mergeCell ref="M4:M5"/>
    <mergeCell ref="C47:N47"/>
    <mergeCell ref="H4:H5"/>
    <mergeCell ref="F4:F5"/>
    <mergeCell ref="E4:E5"/>
    <mergeCell ref="N4:N5"/>
    <mergeCell ref="K4:K5"/>
  </mergeCells>
  <phoneticPr fontId="0" type="noConversion"/>
  <printOptions horizontalCentered="1"/>
  <pageMargins left="0.25" right="0" top="0.83" bottom="0.42" header="0.24" footer="0.31"/>
  <pageSetup paperSize="5" scale="45" firstPageNumber="48" orientation="landscape" useFirstPageNumber="1" r:id="rId1"/>
  <headerFooter alignWithMargins="0">
    <oddHeader xml:space="preserve">&amp;L&amp;"Arial,Bold"&amp;22Table 5B-2:  FY2013-14 MFP Budget Letter 
Recovery School District (Allocations for School Boards and Type 5 Charters other than Orleans Parish) &amp;R
</oddHeader>
    <oddFooter>&amp;R&amp;12&amp;P</oddFooter>
  </headerFooter>
  <colBreaks count="1" manualBreakCount="1">
    <brk id="1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view="pageBreakPreview" zoomScale="90" zoomScaleNormal="100" zoomScaleSheetLayoutView="90" workbookViewId="0">
      <pane xSplit="2" ySplit="6" topLeftCell="K10" activePane="bottomRight" state="frozen"/>
      <selection activeCell="B3" sqref="B3:B5"/>
      <selection pane="topRight" activeCell="B3" sqref="B3:B5"/>
      <selection pane="bottomLeft" activeCell="B3" sqref="B3:B5"/>
      <selection pane="bottomRight" activeCell="V74" sqref="V74"/>
    </sheetView>
  </sheetViews>
  <sheetFormatPr defaultRowHeight="12.75"/>
  <cols>
    <col min="1" max="1" width="4.28515625" customWidth="1"/>
    <col min="2" max="2" width="17.85546875" bestFit="1" customWidth="1"/>
    <col min="3" max="3" width="12.5703125" customWidth="1"/>
    <col min="4" max="4" width="14.7109375" bestFit="1" customWidth="1"/>
    <col min="5" max="5" width="10.140625" bestFit="1" customWidth="1"/>
    <col min="6" max="6" width="12" customWidth="1"/>
    <col min="7" max="7" width="12.5703125" bestFit="1" customWidth="1"/>
    <col min="8" max="8" width="11.85546875" bestFit="1" customWidth="1"/>
    <col min="9" max="9" width="10.85546875" bestFit="1" customWidth="1"/>
    <col min="10" max="10" width="12" bestFit="1" customWidth="1"/>
    <col min="11" max="11" width="13.42578125" bestFit="1" customWidth="1"/>
    <col min="12" max="12" width="14" customWidth="1"/>
    <col min="13" max="13" width="10.140625" customWidth="1"/>
    <col min="14" max="14" width="17.28515625" customWidth="1"/>
    <col min="15" max="15" width="16.7109375" customWidth="1"/>
    <col min="16" max="16" width="13.7109375" customWidth="1"/>
    <col min="17" max="17" width="17" customWidth="1"/>
    <col min="18" max="18" width="15.28515625" customWidth="1"/>
    <col min="19" max="19" width="13.140625" customWidth="1"/>
    <col min="20" max="20" width="12" customWidth="1"/>
    <col min="21" max="21" width="11" customWidth="1"/>
    <col min="22" max="22" width="12.140625" customWidth="1"/>
  </cols>
  <sheetData>
    <row r="1" spans="1:22"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:22" ht="45" customHeight="1">
      <c r="A2" s="1711" t="s">
        <v>512</v>
      </c>
      <c r="B2" s="1712"/>
      <c r="C2" s="1718" t="s">
        <v>673</v>
      </c>
      <c r="D2" s="1719"/>
      <c r="E2" s="1719"/>
      <c r="F2" s="1719"/>
      <c r="G2" s="1719"/>
      <c r="H2" s="1719"/>
      <c r="I2" s="1719"/>
      <c r="J2" s="1719"/>
      <c r="K2" s="1719"/>
      <c r="L2" s="1719"/>
      <c r="M2" s="1720"/>
      <c r="N2" s="1700" t="s">
        <v>656</v>
      </c>
      <c r="O2" s="1701"/>
      <c r="P2" s="1701"/>
      <c r="Q2" s="1701"/>
      <c r="R2" s="1701"/>
      <c r="S2" s="1701"/>
      <c r="T2" s="1702"/>
      <c r="U2" s="1703" t="s">
        <v>682</v>
      </c>
      <c r="V2" s="1703" t="s">
        <v>654</v>
      </c>
    </row>
    <row r="3" spans="1:22" ht="120" customHeight="1">
      <c r="A3" s="1713"/>
      <c r="B3" s="1714"/>
      <c r="C3" s="1706" t="s">
        <v>588</v>
      </c>
      <c r="D3" s="1717" t="s">
        <v>744</v>
      </c>
      <c r="E3" s="1717" t="s">
        <v>674</v>
      </c>
      <c r="F3" s="1706" t="s">
        <v>501</v>
      </c>
      <c r="G3" s="1706" t="s">
        <v>445</v>
      </c>
      <c r="H3" s="1706" t="s">
        <v>675</v>
      </c>
      <c r="I3" s="1104" t="s">
        <v>456</v>
      </c>
      <c r="J3" s="1706" t="s">
        <v>676</v>
      </c>
      <c r="K3" s="1706" t="s">
        <v>967</v>
      </c>
      <c r="L3" s="1706" t="s">
        <v>677</v>
      </c>
      <c r="M3" s="1708" t="s">
        <v>655</v>
      </c>
      <c r="N3" s="1709" t="s">
        <v>527</v>
      </c>
      <c r="O3" s="1278" t="s">
        <v>678</v>
      </c>
      <c r="P3" s="1106" t="s">
        <v>457</v>
      </c>
      <c r="Q3" s="1709" t="s">
        <v>679</v>
      </c>
      <c r="R3" s="1709" t="s">
        <v>967</v>
      </c>
      <c r="S3" s="1709" t="s">
        <v>680</v>
      </c>
      <c r="T3" s="1278" t="s">
        <v>681</v>
      </c>
      <c r="U3" s="1704"/>
      <c r="V3" s="1704"/>
    </row>
    <row r="4" spans="1:22" ht="22.5" customHeight="1">
      <c r="A4" s="1715"/>
      <c r="B4" s="1716"/>
      <c r="C4" s="1707"/>
      <c r="D4" s="1717"/>
      <c r="E4" s="1717"/>
      <c r="F4" s="1707"/>
      <c r="G4" s="1707"/>
      <c r="H4" s="1707"/>
      <c r="I4" s="1018">
        <v>2.5000000000000001E-3</v>
      </c>
      <c r="J4" s="1707"/>
      <c r="K4" s="1707"/>
      <c r="L4" s="1707"/>
      <c r="M4" s="1707"/>
      <c r="N4" s="1710"/>
      <c r="O4" s="1105"/>
      <c r="P4" s="1019">
        <v>2.5000000000000001E-3</v>
      </c>
      <c r="Q4" s="1710"/>
      <c r="R4" s="1710"/>
      <c r="S4" s="1710"/>
      <c r="T4" s="1105"/>
      <c r="U4" s="1705"/>
      <c r="V4" s="1705"/>
    </row>
    <row r="5" spans="1:22" ht="14.25" customHeight="1">
      <c r="A5" s="950"/>
      <c r="B5" s="951"/>
      <c r="C5" s="952">
        <v>1</v>
      </c>
      <c r="D5" s="952">
        <f t="shared" ref="D5" si="0">C5+1</f>
        <v>2</v>
      </c>
      <c r="E5" s="952">
        <f>D5+1</f>
        <v>3</v>
      </c>
      <c r="F5" s="952">
        <f t="shared" ref="F5" si="1">E5+1</f>
        <v>4</v>
      </c>
      <c r="G5" s="952">
        <f t="shared" ref="G5" si="2">F5+1</f>
        <v>5</v>
      </c>
      <c r="H5" s="952">
        <f t="shared" ref="H5" si="3">G5+1</f>
        <v>6</v>
      </c>
      <c r="I5" s="952">
        <f t="shared" ref="I5" si="4">H5+1</f>
        <v>7</v>
      </c>
      <c r="J5" s="952">
        <f t="shared" ref="J5" si="5">I5+1</f>
        <v>8</v>
      </c>
      <c r="K5" s="952">
        <f t="shared" ref="K5" si="6">J5+1</f>
        <v>9</v>
      </c>
      <c r="L5" s="952">
        <f t="shared" ref="L5" si="7">K5+1</f>
        <v>10</v>
      </c>
      <c r="M5" s="952">
        <f t="shared" ref="M5:N5" si="8">L5+1</f>
        <v>11</v>
      </c>
      <c r="N5" s="952">
        <f t="shared" si="8"/>
        <v>12</v>
      </c>
      <c r="O5" s="952">
        <f t="shared" ref="O5" si="9">N5+1</f>
        <v>13</v>
      </c>
      <c r="P5" s="952">
        <f t="shared" ref="P5" si="10">O5+1</f>
        <v>14</v>
      </c>
      <c r="Q5" s="952">
        <f t="shared" ref="Q5" si="11">P5+1</f>
        <v>15</v>
      </c>
      <c r="R5" s="952">
        <f t="shared" ref="R5" si="12">Q5+1</f>
        <v>16</v>
      </c>
      <c r="S5" s="952">
        <f t="shared" ref="S5" si="13">R5+1</f>
        <v>17</v>
      </c>
      <c r="T5" s="952">
        <f t="shared" ref="T5" si="14">S5+1</f>
        <v>18</v>
      </c>
      <c r="U5" s="952">
        <f t="shared" ref="U5" si="15">T5+1</f>
        <v>19</v>
      </c>
      <c r="V5" s="952">
        <f t="shared" ref="V5" si="16">U5+1</f>
        <v>20</v>
      </c>
    </row>
    <row r="6" spans="1:22" ht="27" customHeight="1">
      <c r="A6" s="979"/>
      <c r="B6" s="980"/>
      <c r="C6" s="980"/>
      <c r="D6" s="980"/>
      <c r="E6" s="980"/>
      <c r="F6" s="980"/>
      <c r="G6" s="980"/>
      <c r="H6" s="980"/>
      <c r="I6" s="980"/>
      <c r="J6" s="980"/>
      <c r="K6" s="980"/>
      <c r="L6" s="980"/>
      <c r="M6" s="980"/>
      <c r="N6" s="980"/>
      <c r="O6" s="980"/>
      <c r="P6" s="980"/>
      <c r="Q6" s="980"/>
      <c r="R6" s="980"/>
      <c r="S6" s="980"/>
      <c r="T6" s="980"/>
      <c r="U6" s="980"/>
      <c r="V6" s="980"/>
    </row>
    <row r="7" spans="1:22">
      <c r="A7" s="953">
        <v>1</v>
      </c>
      <c r="B7" s="954" t="s">
        <v>93</v>
      </c>
      <c r="C7" s="955">
        <f>'2-1-13 SIS'!I7</f>
        <v>0</v>
      </c>
      <c r="D7" s="956">
        <f>'Table 3 Levels 1&amp;2'!AL8</f>
        <v>4597.5882673899441</v>
      </c>
      <c r="E7" s="1010">
        <f>C7*D7</f>
        <v>0</v>
      </c>
      <c r="F7" s="1010">
        <f>'Table 4 Level 3'!P6</f>
        <v>777.48</v>
      </c>
      <c r="G7" s="1010">
        <f>C7*F7</f>
        <v>0</v>
      </c>
      <c r="H7" s="957">
        <f>E7+G7</f>
        <v>0</v>
      </c>
      <c r="I7" s="1020">
        <f>-(0.25%*H7)</f>
        <v>0</v>
      </c>
      <c r="J7" s="957">
        <f>SUM(H7:I7)</f>
        <v>0</v>
      </c>
      <c r="K7" s="957">
        <v>0</v>
      </c>
      <c r="L7" s="957">
        <f>SUM(J7:K7)</f>
        <v>0</v>
      </c>
      <c r="M7" s="957">
        <f>L7/12</f>
        <v>0</v>
      </c>
      <c r="N7" s="981">
        <f>'[11]FY2013-14 Initial'!K8</f>
        <v>2168</v>
      </c>
      <c r="O7" s="958">
        <f t="shared" ref="O7:O38" si="17">C7*N7</f>
        <v>0</v>
      </c>
      <c r="P7" s="1028">
        <f>-(0.25%*O7)</f>
        <v>0</v>
      </c>
      <c r="Q7" s="958">
        <f>SUM(O7:P7)</f>
        <v>0</v>
      </c>
      <c r="R7" s="958">
        <v>0</v>
      </c>
      <c r="S7" s="958">
        <f>SUM(Q7:R7)</f>
        <v>0</v>
      </c>
      <c r="T7" s="958">
        <f>S7/12</f>
        <v>0</v>
      </c>
      <c r="U7" s="959">
        <f t="shared" ref="U7:U38" si="18">L7+S7</f>
        <v>0</v>
      </c>
      <c r="V7" s="959">
        <f t="shared" ref="V7:V38" si="19">M7+T7</f>
        <v>0</v>
      </c>
    </row>
    <row r="8" spans="1:22">
      <c r="A8" s="960">
        <v>2</v>
      </c>
      <c r="B8" s="961" t="s">
        <v>94</v>
      </c>
      <c r="C8" s="1078">
        <f>'2-1-13 SIS'!I8</f>
        <v>0</v>
      </c>
      <c r="D8" s="962">
        <f>'Table 3 Levels 1&amp;2'!AL9</f>
        <v>6182.4313545138375</v>
      </c>
      <c r="E8" s="1011">
        <f t="shared" ref="E8:E71" si="20">C8*D8</f>
        <v>0</v>
      </c>
      <c r="F8" s="1011">
        <f>'Table 4 Level 3'!P7</f>
        <v>842.32</v>
      </c>
      <c r="G8" s="1011">
        <f t="shared" ref="G8:G71" si="21">C8*F8</f>
        <v>0</v>
      </c>
      <c r="H8" s="982">
        <f t="shared" ref="H8:H71" si="22">E8+G8</f>
        <v>0</v>
      </c>
      <c r="I8" s="1021">
        <f t="shared" ref="I8:I71" si="23">-(0.25%*H8)</f>
        <v>0</v>
      </c>
      <c r="J8" s="982">
        <f t="shared" ref="J8:J71" si="24">SUM(H8:I8)</f>
        <v>0</v>
      </c>
      <c r="K8" s="982">
        <v>0</v>
      </c>
      <c r="L8" s="982">
        <f t="shared" ref="L8:L71" si="25">SUM(J8:K8)</f>
        <v>0</v>
      </c>
      <c r="M8" s="982">
        <f t="shared" ref="M8:M71" si="26">L8/12</f>
        <v>0</v>
      </c>
      <c r="N8" s="981">
        <f>'[11]FY2013-14 Initial'!K9</f>
        <v>2627</v>
      </c>
      <c r="O8" s="983">
        <f t="shared" si="17"/>
        <v>0</v>
      </c>
      <c r="P8" s="1029">
        <f t="shared" ref="P8:P71" si="27">-(0.25%*O8)</f>
        <v>0</v>
      </c>
      <c r="Q8" s="983">
        <f t="shared" ref="Q8:Q71" si="28">SUM(O8:P8)</f>
        <v>0</v>
      </c>
      <c r="R8" s="983">
        <v>0</v>
      </c>
      <c r="S8" s="983">
        <f t="shared" ref="S8:S71" si="29">SUM(Q8:R8)</f>
        <v>0</v>
      </c>
      <c r="T8" s="983">
        <f t="shared" ref="T8:T71" si="30">S8/12</f>
        <v>0</v>
      </c>
      <c r="U8" s="984">
        <f t="shared" si="18"/>
        <v>0</v>
      </c>
      <c r="V8" s="984">
        <f t="shared" si="19"/>
        <v>0</v>
      </c>
    </row>
    <row r="9" spans="1:22">
      <c r="A9" s="960">
        <v>3</v>
      </c>
      <c r="B9" s="961" t="s">
        <v>95</v>
      </c>
      <c r="C9" s="1078">
        <f>'2-1-13 SIS'!I9</f>
        <v>0</v>
      </c>
      <c r="D9" s="962">
        <f>'Table 3 Levels 1&amp;2'!AL10</f>
        <v>4206.710737685361</v>
      </c>
      <c r="E9" s="1011">
        <f t="shared" si="20"/>
        <v>0</v>
      </c>
      <c r="F9" s="1011">
        <f>'Table 4 Level 3'!P8</f>
        <v>596.84</v>
      </c>
      <c r="G9" s="1011">
        <f t="shared" si="21"/>
        <v>0</v>
      </c>
      <c r="H9" s="982">
        <f t="shared" si="22"/>
        <v>0</v>
      </c>
      <c r="I9" s="1021">
        <f t="shared" si="23"/>
        <v>0</v>
      </c>
      <c r="J9" s="982">
        <f t="shared" si="24"/>
        <v>0</v>
      </c>
      <c r="K9" s="982">
        <v>0</v>
      </c>
      <c r="L9" s="982">
        <f t="shared" si="25"/>
        <v>0</v>
      </c>
      <c r="M9" s="982">
        <f t="shared" si="26"/>
        <v>0</v>
      </c>
      <c r="N9" s="981">
        <f>'[11]FY2013-14 Initial'!K10</f>
        <v>5431</v>
      </c>
      <c r="O9" s="983">
        <f t="shared" si="17"/>
        <v>0</v>
      </c>
      <c r="P9" s="1029">
        <f t="shared" si="27"/>
        <v>0</v>
      </c>
      <c r="Q9" s="983">
        <f t="shared" si="28"/>
        <v>0</v>
      </c>
      <c r="R9" s="983">
        <v>0</v>
      </c>
      <c r="S9" s="983">
        <f t="shared" si="29"/>
        <v>0</v>
      </c>
      <c r="T9" s="983">
        <f t="shared" si="30"/>
        <v>0</v>
      </c>
      <c r="U9" s="984">
        <f t="shared" si="18"/>
        <v>0</v>
      </c>
      <c r="V9" s="984">
        <f t="shared" si="19"/>
        <v>0</v>
      </c>
    </row>
    <row r="10" spans="1:22">
      <c r="A10" s="960">
        <v>4</v>
      </c>
      <c r="B10" s="961" t="s">
        <v>96</v>
      </c>
      <c r="C10" s="1078">
        <f>'2-1-13 SIS'!I10</f>
        <v>0</v>
      </c>
      <c r="D10" s="962">
        <f>'Table 3 Levels 1&amp;2'!AL11</f>
        <v>5987.4993535453223</v>
      </c>
      <c r="E10" s="1011">
        <f t="shared" si="20"/>
        <v>0</v>
      </c>
      <c r="F10" s="1011">
        <f>'Table 4 Level 3'!P9</f>
        <v>585.76</v>
      </c>
      <c r="G10" s="1011">
        <f t="shared" si="21"/>
        <v>0</v>
      </c>
      <c r="H10" s="982">
        <f t="shared" si="22"/>
        <v>0</v>
      </c>
      <c r="I10" s="1021">
        <f t="shared" si="23"/>
        <v>0</v>
      </c>
      <c r="J10" s="982">
        <f t="shared" si="24"/>
        <v>0</v>
      </c>
      <c r="K10" s="982">
        <v>0</v>
      </c>
      <c r="L10" s="982">
        <f t="shared" si="25"/>
        <v>0</v>
      </c>
      <c r="M10" s="982">
        <f t="shared" si="26"/>
        <v>0</v>
      </c>
      <c r="N10" s="981">
        <f>'[11]FY2013-14 Initial'!K11</f>
        <v>3029</v>
      </c>
      <c r="O10" s="983">
        <f t="shared" si="17"/>
        <v>0</v>
      </c>
      <c r="P10" s="1029">
        <f t="shared" si="27"/>
        <v>0</v>
      </c>
      <c r="Q10" s="983">
        <f t="shared" si="28"/>
        <v>0</v>
      </c>
      <c r="R10" s="983">
        <v>0</v>
      </c>
      <c r="S10" s="983">
        <f t="shared" si="29"/>
        <v>0</v>
      </c>
      <c r="T10" s="983">
        <f t="shared" si="30"/>
        <v>0</v>
      </c>
      <c r="U10" s="984">
        <f t="shared" si="18"/>
        <v>0</v>
      </c>
      <c r="V10" s="984">
        <f t="shared" si="19"/>
        <v>0</v>
      </c>
    </row>
    <row r="11" spans="1:22">
      <c r="A11" s="963">
        <v>5</v>
      </c>
      <c r="B11" s="964" t="s">
        <v>97</v>
      </c>
      <c r="C11" s="1079">
        <f>'2-1-13 SIS'!I11</f>
        <v>0</v>
      </c>
      <c r="D11" s="965">
        <f>'Table 3 Levels 1&amp;2'!AL12</f>
        <v>4986.8166927080074</v>
      </c>
      <c r="E11" s="1012">
        <f t="shared" si="20"/>
        <v>0</v>
      </c>
      <c r="F11" s="1012">
        <f>'Table 4 Level 3'!P10</f>
        <v>555.91</v>
      </c>
      <c r="G11" s="1012">
        <f t="shared" si="21"/>
        <v>0</v>
      </c>
      <c r="H11" s="985">
        <f t="shared" si="22"/>
        <v>0</v>
      </c>
      <c r="I11" s="1022">
        <f t="shared" si="23"/>
        <v>0</v>
      </c>
      <c r="J11" s="985">
        <f t="shared" si="24"/>
        <v>0</v>
      </c>
      <c r="K11" s="985">
        <v>0</v>
      </c>
      <c r="L11" s="985">
        <f t="shared" si="25"/>
        <v>0</v>
      </c>
      <c r="M11" s="985">
        <f t="shared" si="26"/>
        <v>0</v>
      </c>
      <c r="N11" s="986">
        <f>'[11]FY2013-14 Initial'!K12</f>
        <v>1751</v>
      </c>
      <c r="O11" s="987">
        <f t="shared" si="17"/>
        <v>0</v>
      </c>
      <c r="P11" s="1030">
        <f t="shared" si="27"/>
        <v>0</v>
      </c>
      <c r="Q11" s="987">
        <f t="shared" si="28"/>
        <v>0</v>
      </c>
      <c r="R11" s="987">
        <v>0</v>
      </c>
      <c r="S11" s="987">
        <f t="shared" si="29"/>
        <v>0</v>
      </c>
      <c r="T11" s="987">
        <f t="shared" si="30"/>
        <v>0</v>
      </c>
      <c r="U11" s="988">
        <f t="shared" si="18"/>
        <v>0</v>
      </c>
      <c r="V11" s="988">
        <f t="shared" si="19"/>
        <v>0</v>
      </c>
    </row>
    <row r="12" spans="1:22">
      <c r="A12" s="953">
        <v>6</v>
      </c>
      <c r="B12" s="954" t="s">
        <v>98</v>
      </c>
      <c r="C12" s="1080">
        <f>'2-1-13 SIS'!I12</f>
        <v>0</v>
      </c>
      <c r="D12" s="956">
        <f>'Table 3 Levels 1&amp;2'!AL13</f>
        <v>5412.7883404260592</v>
      </c>
      <c r="E12" s="1010">
        <f t="shared" si="20"/>
        <v>0</v>
      </c>
      <c r="F12" s="1010">
        <f>'Table 4 Level 3'!P11</f>
        <v>545.4799999999999</v>
      </c>
      <c r="G12" s="1010">
        <f t="shared" si="21"/>
        <v>0</v>
      </c>
      <c r="H12" s="957">
        <f t="shared" si="22"/>
        <v>0</v>
      </c>
      <c r="I12" s="1020">
        <f t="shared" si="23"/>
        <v>0</v>
      </c>
      <c r="J12" s="957">
        <f t="shared" si="24"/>
        <v>0</v>
      </c>
      <c r="K12" s="957">
        <v>0</v>
      </c>
      <c r="L12" s="957">
        <f t="shared" si="25"/>
        <v>0</v>
      </c>
      <c r="M12" s="957">
        <f t="shared" si="26"/>
        <v>0</v>
      </c>
      <c r="N12" s="981">
        <f>'[11]FY2013-14 Initial'!K13</f>
        <v>3735</v>
      </c>
      <c r="O12" s="958">
        <f t="shared" si="17"/>
        <v>0</v>
      </c>
      <c r="P12" s="1028">
        <f t="shared" si="27"/>
        <v>0</v>
      </c>
      <c r="Q12" s="958">
        <f t="shared" si="28"/>
        <v>0</v>
      </c>
      <c r="R12" s="958">
        <v>0</v>
      </c>
      <c r="S12" s="958">
        <f t="shared" si="29"/>
        <v>0</v>
      </c>
      <c r="T12" s="958">
        <f t="shared" si="30"/>
        <v>0</v>
      </c>
      <c r="U12" s="959">
        <f t="shared" si="18"/>
        <v>0</v>
      </c>
      <c r="V12" s="959">
        <f t="shared" si="19"/>
        <v>0</v>
      </c>
    </row>
    <row r="13" spans="1:22">
      <c r="A13" s="960">
        <v>7</v>
      </c>
      <c r="B13" s="961" t="s">
        <v>99</v>
      </c>
      <c r="C13" s="1078">
        <f>'2-1-13 SIS'!I13</f>
        <v>0</v>
      </c>
      <c r="D13" s="962">
        <f>'Table 3 Levels 1&amp;2'!AL14</f>
        <v>1766.1023604176123</v>
      </c>
      <c r="E13" s="1011">
        <f t="shared" si="20"/>
        <v>0</v>
      </c>
      <c r="F13" s="1011">
        <f>'Table 4 Level 3'!P12</f>
        <v>756.91999999999985</v>
      </c>
      <c r="G13" s="1011">
        <f t="shared" si="21"/>
        <v>0</v>
      </c>
      <c r="H13" s="982">
        <f t="shared" si="22"/>
        <v>0</v>
      </c>
      <c r="I13" s="1021">
        <f t="shared" si="23"/>
        <v>0</v>
      </c>
      <c r="J13" s="982">
        <f t="shared" si="24"/>
        <v>0</v>
      </c>
      <c r="K13" s="982">
        <v>0</v>
      </c>
      <c r="L13" s="982">
        <f t="shared" si="25"/>
        <v>0</v>
      </c>
      <c r="M13" s="982">
        <f t="shared" si="26"/>
        <v>0</v>
      </c>
      <c r="N13" s="981">
        <f>'[11]FY2013-14 Initial'!K14</f>
        <v>11329</v>
      </c>
      <c r="O13" s="983">
        <f t="shared" si="17"/>
        <v>0</v>
      </c>
      <c r="P13" s="1029">
        <f t="shared" si="27"/>
        <v>0</v>
      </c>
      <c r="Q13" s="983">
        <f t="shared" si="28"/>
        <v>0</v>
      </c>
      <c r="R13" s="983">
        <v>0</v>
      </c>
      <c r="S13" s="983">
        <f t="shared" si="29"/>
        <v>0</v>
      </c>
      <c r="T13" s="983">
        <f t="shared" si="30"/>
        <v>0</v>
      </c>
      <c r="U13" s="984">
        <f t="shared" si="18"/>
        <v>0</v>
      </c>
      <c r="V13" s="984">
        <f t="shared" si="19"/>
        <v>0</v>
      </c>
    </row>
    <row r="14" spans="1:22">
      <c r="A14" s="960">
        <v>8</v>
      </c>
      <c r="B14" s="961" t="s">
        <v>100</v>
      </c>
      <c r="C14" s="1078">
        <f>'2-1-13 SIS'!I14</f>
        <v>0</v>
      </c>
      <c r="D14" s="962">
        <f>'Table 3 Levels 1&amp;2'!AL15</f>
        <v>4289.5073606712331</v>
      </c>
      <c r="E14" s="1011">
        <f t="shared" si="20"/>
        <v>0</v>
      </c>
      <c r="F14" s="1011">
        <f>'Table 4 Level 3'!P13</f>
        <v>725.76</v>
      </c>
      <c r="G14" s="1011">
        <f t="shared" si="21"/>
        <v>0</v>
      </c>
      <c r="H14" s="982">
        <f t="shared" si="22"/>
        <v>0</v>
      </c>
      <c r="I14" s="1021">
        <f t="shared" si="23"/>
        <v>0</v>
      </c>
      <c r="J14" s="982">
        <f t="shared" si="24"/>
        <v>0</v>
      </c>
      <c r="K14" s="982">
        <v>0</v>
      </c>
      <c r="L14" s="982">
        <f t="shared" si="25"/>
        <v>0</v>
      </c>
      <c r="M14" s="982">
        <f t="shared" si="26"/>
        <v>0</v>
      </c>
      <c r="N14" s="981">
        <f>'[11]FY2013-14 Initial'!K15</f>
        <v>3915</v>
      </c>
      <c r="O14" s="983">
        <f t="shared" si="17"/>
        <v>0</v>
      </c>
      <c r="P14" s="1029">
        <f t="shared" si="27"/>
        <v>0</v>
      </c>
      <c r="Q14" s="983">
        <f t="shared" si="28"/>
        <v>0</v>
      </c>
      <c r="R14" s="983">
        <v>0</v>
      </c>
      <c r="S14" s="983">
        <f t="shared" si="29"/>
        <v>0</v>
      </c>
      <c r="T14" s="983">
        <f t="shared" si="30"/>
        <v>0</v>
      </c>
      <c r="U14" s="984">
        <f t="shared" si="18"/>
        <v>0</v>
      </c>
      <c r="V14" s="984">
        <f t="shared" si="19"/>
        <v>0</v>
      </c>
    </row>
    <row r="15" spans="1:22">
      <c r="A15" s="960">
        <v>9</v>
      </c>
      <c r="B15" s="961" t="s">
        <v>101</v>
      </c>
      <c r="C15" s="1078">
        <f>'2-1-13 SIS'!I15</f>
        <v>0</v>
      </c>
      <c r="D15" s="962">
        <f>'Table 3 Levels 1&amp;2'!AL16</f>
        <v>4395.6154516889328</v>
      </c>
      <c r="E15" s="1011">
        <f t="shared" si="20"/>
        <v>0</v>
      </c>
      <c r="F15" s="1011">
        <f>'Table 4 Level 3'!P14</f>
        <v>744.76</v>
      </c>
      <c r="G15" s="1011">
        <f t="shared" si="21"/>
        <v>0</v>
      </c>
      <c r="H15" s="982">
        <f t="shared" si="22"/>
        <v>0</v>
      </c>
      <c r="I15" s="1021">
        <f t="shared" si="23"/>
        <v>0</v>
      </c>
      <c r="J15" s="982">
        <f t="shared" si="24"/>
        <v>0</v>
      </c>
      <c r="K15" s="982">
        <v>0</v>
      </c>
      <c r="L15" s="982">
        <f t="shared" si="25"/>
        <v>0</v>
      </c>
      <c r="M15" s="982">
        <f t="shared" si="26"/>
        <v>0</v>
      </c>
      <c r="N15" s="981">
        <f>'[11]FY2013-14 Initial'!K16</f>
        <v>4627</v>
      </c>
      <c r="O15" s="983">
        <f t="shared" si="17"/>
        <v>0</v>
      </c>
      <c r="P15" s="1029">
        <f t="shared" si="27"/>
        <v>0</v>
      </c>
      <c r="Q15" s="983">
        <f t="shared" si="28"/>
        <v>0</v>
      </c>
      <c r="R15" s="983">
        <v>0</v>
      </c>
      <c r="S15" s="983">
        <f t="shared" si="29"/>
        <v>0</v>
      </c>
      <c r="T15" s="983">
        <f t="shared" si="30"/>
        <v>0</v>
      </c>
      <c r="U15" s="984">
        <f t="shared" si="18"/>
        <v>0</v>
      </c>
      <c r="V15" s="984">
        <f t="shared" si="19"/>
        <v>0</v>
      </c>
    </row>
    <row r="16" spans="1:22">
      <c r="A16" s="963">
        <v>10</v>
      </c>
      <c r="B16" s="964" t="s">
        <v>102</v>
      </c>
      <c r="C16" s="1079">
        <f>'2-1-13 SIS'!I16</f>
        <v>0</v>
      </c>
      <c r="D16" s="965">
        <f>'Table 3 Levels 1&amp;2'!AL17</f>
        <v>4253.5980618992444</v>
      </c>
      <c r="E16" s="1012">
        <f t="shared" si="20"/>
        <v>0</v>
      </c>
      <c r="F16" s="1012">
        <f>'Table 4 Level 3'!P15</f>
        <v>608.04000000000008</v>
      </c>
      <c r="G16" s="1012">
        <f t="shared" si="21"/>
        <v>0</v>
      </c>
      <c r="H16" s="985">
        <f t="shared" si="22"/>
        <v>0</v>
      </c>
      <c r="I16" s="1022">
        <f t="shared" si="23"/>
        <v>0</v>
      </c>
      <c r="J16" s="985">
        <f t="shared" si="24"/>
        <v>0</v>
      </c>
      <c r="K16" s="985">
        <v>0</v>
      </c>
      <c r="L16" s="985">
        <f t="shared" si="25"/>
        <v>0</v>
      </c>
      <c r="M16" s="985">
        <f t="shared" si="26"/>
        <v>0</v>
      </c>
      <c r="N16" s="986">
        <f>'[11]FY2013-14 Initial'!K17</f>
        <v>4489</v>
      </c>
      <c r="O16" s="987">
        <f t="shared" si="17"/>
        <v>0</v>
      </c>
      <c r="P16" s="1030">
        <f t="shared" si="27"/>
        <v>0</v>
      </c>
      <c r="Q16" s="987">
        <f t="shared" si="28"/>
        <v>0</v>
      </c>
      <c r="R16" s="987">
        <v>0</v>
      </c>
      <c r="S16" s="987">
        <f t="shared" si="29"/>
        <v>0</v>
      </c>
      <c r="T16" s="987">
        <f t="shared" si="30"/>
        <v>0</v>
      </c>
      <c r="U16" s="988">
        <f t="shared" si="18"/>
        <v>0</v>
      </c>
      <c r="V16" s="988">
        <f t="shared" si="19"/>
        <v>0</v>
      </c>
    </row>
    <row r="17" spans="1:22">
      <c r="A17" s="953">
        <v>11</v>
      </c>
      <c r="B17" s="954" t="s">
        <v>103</v>
      </c>
      <c r="C17" s="1080">
        <f>'2-1-13 SIS'!I17</f>
        <v>0</v>
      </c>
      <c r="D17" s="956">
        <f>'Table 3 Levels 1&amp;2'!AL18</f>
        <v>6852.9138435383502</v>
      </c>
      <c r="E17" s="1010">
        <f t="shared" si="20"/>
        <v>0</v>
      </c>
      <c r="F17" s="1010">
        <f>'Table 4 Level 3'!P16</f>
        <v>706.55</v>
      </c>
      <c r="G17" s="1010">
        <f t="shared" si="21"/>
        <v>0</v>
      </c>
      <c r="H17" s="957">
        <f t="shared" si="22"/>
        <v>0</v>
      </c>
      <c r="I17" s="1020">
        <f t="shared" si="23"/>
        <v>0</v>
      </c>
      <c r="J17" s="957">
        <f t="shared" si="24"/>
        <v>0</v>
      </c>
      <c r="K17" s="957">
        <v>0</v>
      </c>
      <c r="L17" s="957">
        <f t="shared" si="25"/>
        <v>0</v>
      </c>
      <c r="M17" s="957">
        <f t="shared" si="26"/>
        <v>0</v>
      </c>
      <c r="N17" s="981">
        <f>'[11]FY2013-14 Initial'!K18</f>
        <v>3654</v>
      </c>
      <c r="O17" s="958">
        <f t="shared" si="17"/>
        <v>0</v>
      </c>
      <c r="P17" s="1028">
        <f t="shared" si="27"/>
        <v>0</v>
      </c>
      <c r="Q17" s="958">
        <f t="shared" si="28"/>
        <v>0</v>
      </c>
      <c r="R17" s="958">
        <v>0</v>
      </c>
      <c r="S17" s="958">
        <f t="shared" si="29"/>
        <v>0</v>
      </c>
      <c r="T17" s="958">
        <f t="shared" si="30"/>
        <v>0</v>
      </c>
      <c r="U17" s="959">
        <f t="shared" si="18"/>
        <v>0</v>
      </c>
      <c r="V17" s="959">
        <f t="shared" si="19"/>
        <v>0</v>
      </c>
    </row>
    <row r="18" spans="1:22">
      <c r="A18" s="960">
        <v>12</v>
      </c>
      <c r="B18" s="961" t="s">
        <v>104</v>
      </c>
      <c r="C18" s="1078">
        <f>'2-1-13 SIS'!I18</f>
        <v>0</v>
      </c>
      <c r="D18" s="962">
        <f>'Table 3 Levels 1&amp;2'!AL19</f>
        <v>1733.9056059356967</v>
      </c>
      <c r="E18" s="1011">
        <f t="shared" si="20"/>
        <v>0</v>
      </c>
      <c r="F18" s="1011">
        <f>'Table 4 Level 3'!P17</f>
        <v>1063.31</v>
      </c>
      <c r="G18" s="1011">
        <f t="shared" si="21"/>
        <v>0</v>
      </c>
      <c r="H18" s="982">
        <f t="shared" si="22"/>
        <v>0</v>
      </c>
      <c r="I18" s="1021">
        <f t="shared" si="23"/>
        <v>0</v>
      </c>
      <c r="J18" s="982">
        <f t="shared" si="24"/>
        <v>0</v>
      </c>
      <c r="K18" s="982">
        <v>0</v>
      </c>
      <c r="L18" s="982">
        <f t="shared" si="25"/>
        <v>0</v>
      </c>
      <c r="M18" s="982">
        <f t="shared" si="26"/>
        <v>0</v>
      </c>
      <c r="N18" s="981">
        <f>'[11]FY2013-14 Initial'!K19</f>
        <v>13767</v>
      </c>
      <c r="O18" s="983">
        <f t="shared" si="17"/>
        <v>0</v>
      </c>
      <c r="P18" s="1029">
        <f t="shared" si="27"/>
        <v>0</v>
      </c>
      <c r="Q18" s="983">
        <f t="shared" si="28"/>
        <v>0</v>
      </c>
      <c r="R18" s="983">
        <v>0</v>
      </c>
      <c r="S18" s="983">
        <f t="shared" si="29"/>
        <v>0</v>
      </c>
      <c r="T18" s="983">
        <f t="shared" si="30"/>
        <v>0</v>
      </c>
      <c r="U18" s="984">
        <f t="shared" si="18"/>
        <v>0</v>
      </c>
      <c r="V18" s="984">
        <f t="shared" si="19"/>
        <v>0</v>
      </c>
    </row>
    <row r="19" spans="1:22">
      <c r="A19" s="960">
        <v>13</v>
      </c>
      <c r="B19" s="961" t="s">
        <v>105</v>
      </c>
      <c r="C19" s="1078">
        <f>'2-1-13 SIS'!I19</f>
        <v>0</v>
      </c>
      <c r="D19" s="962">
        <f>'Table 3 Levels 1&amp;2'!AL20</f>
        <v>6254.1238637730876</v>
      </c>
      <c r="E19" s="1011">
        <f t="shared" si="20"/>
        <v>0</v>
      </c>
      <c r="F19" s="1011">
        <f>'Table 4 Level 3'!P18</f>
        <v>749.43000000000006</v>
      </c>
      <c r="G19" s="1011">
        <f t="shared" si="21"/>
        <v>0</v>
      </c>
      <c r="H19" s="982">
        <f t="shared" si="22"/>
        <v>0</v>
      </c>
      <c r="I19" s="1021">
        <f t="shared" si="23"/>
        <v>0</v>
      </c>
      <c r="J19" s="982">
        <f t="shared" si="24"/>
        <v>0</v>
      </c>
      <c r="K19" s="982">
        <v>0</v>
      </c>
      <c r="L19" s="982">
        <f t="shared" si="25"/>
        <v>0</v>
      </c>
      <c r="M19" s="982">
        <f t="shared" si="26"/>
        <v>0</v>
      </c>
      <c r="N19" s="981">
        <f>'[11]FY2013-14 Initial'!K20</f>
        <v>2525</v>
      </c>
      <c r="O19" s="983">
        <f t="shared" si="17"/>
        <v>0</v>
      </c>
      <c r="P19" s="1029">
        <f t="shared" si="27"/>
        <v>0</v>
      </c>
      <c r="Q19" s="983">
        <f t="shared" si="28"/>
        <v>0</v>
      </c>
      <c r="R19" s="983">
        <v>0</v>
      </c>
      <c r="S19" s="983">
        <f t="shared" si="29"/>
        <v>0</v>
      </c>
      <c r="T19" s="983">
        <f t="shared" si="30"/>
        <v>0</v>
      </c>
      <c r="U19" s="984">
        <f t="shared" si="18"/>
        <v>0</v>
      </c>
      <c r="V19" s="984">
        <f t="shared" si="19"/>
        <v>0</v>
      </c>
    </row>
    <row r="20" spans="1:22">
      <c r="A20" s="960">
        <v>14</v>
      </c>
      <c r="B20" s="961" t="s">
        <v>106</v>
      </c>
      <c r="C20" s="1078">
        <f>'2-1-13 SIS'!I20</f>
        <v>0</v>
      </c>
      <c r="D20" s="962">
        <f>'Table 3 Levels 1&amp;2'!AL21</f>
        <v>5377.9187438545459</v>
      </c>
      <c r="E20" s="1011">
        <f t="shared" si="20"/>
        <v>0</v>
      </c>
      <c r="F20" s="1011">
        <f>'Table 4 Level 3'!P19</f>
        <v>809.9799999999999</v>
      </c>
      <c r="G20" s="1011">
        <f t="shared" si="21"/>
        <v>0</v>
      </c>
      <c r="H20" s="982">
        <f t="shared" si="22"/>
        <v>0</v>
      </c>
      <c r="I20" s="1021">
        <f t="shared" si="23"/>
        <v>0</v>
      </c>
      <c r="J20" s="982">
        <f t="shared" si="24"/>
        <v>0</v>
      </c>
      <c r="K20" s="982">
        <v>0</v>
      </c>
      <c r="L20" s="982">
        <f t="shared" si="25"/>
        <v>0</v>
      </c>
      <c r="M20" s="982">
        <f t="shared" si="26"/>
        <v>0</v>
      </c>
      <c r="N20" s="981">
        <f>'[11]FY2013-14 Initial'!K21</f>
        <v>3988</v>
      </c>
      <c r="O20" s="983">
        <f t="shared" si="17"/>
        <v>0</v>
      </c>
      <c r="P20" s="1029">
        <f t="shared" si="27"/>
        <v>0</v>
      </c>
      <c r="Q20" s="983">
        <f t="shared" si="28"/>
        <v>0</v>
      </c>
      <c r="R20" s="983">
        <v>0</v>
      </c>
      <c r="S20" s="983">
        <f t="shared" si="29"/>
        <v>0</v>
      </c>
      <c r="T20" s="983">
        <f t="shared" si="30"/>
        <v>0</v>
      </c>
      <c r="U20" s="984">
        <f t="shared" si="18"/>
        <v>0</v>
      </c>
      <c r="V20" s="984">
        <f t="shared" si="19"/>
        <v>0</v>
      </c>
    </row>
    <row r="21" spans="1:22">
      <c r="A21" s="963">
        <v>15</v>
      </c>
      <c r="B21" s="964" t="s">
        <v>107</v>
      </c>
      <c r="C21" s="1079">
        <f>'2-1-13 SIS'!I21</f>
        <v>0</v>
      </c>
      <c r="D21" s="965">
        <f>'Table 3 Levels 1&amp;2'!AL22</f>
        <v>5527.7651197617861</v>
      </c>
      <c r="E21" s="1012">
        <f t="shared" si="20"/>
        <v>0</v>
      </c>
      <c r="F21" s="1012">
        <f>'Table 4 Level 3'!P20</f>
        <v>553.79999999999995</v>
      </c>
      <c r="G21" s="1012">
        <f t="shared" si="21"/>
        <v>0</v>
      </c>
      <c r="H21" s="985">
        <f t="shared" si="22"/>
        <v>0</v>
      </c>
      <c r="I21" s="1022">
        <f t="shared" si="23"/>
        <v>0</v>
      </c>
      <c r="J21" s="985">
        <f t="shared" si="24"/>
        <v>0</v>
      </c>
      <c r="K21" s="985">
        <v>0</v>
      </c>
      <c r="L21" s="985">
        <f t="shared" si="25"/>
        <v>0</v>
      </c>
      <c r="M21" s="985">
        <f t="shared" si="26"/>
        <v>0</v>
      </c>
      <c r="N21" s="986">
        <f>'[11]FY2013-14 Initial'!K22</f>
        <v>2544</v>
      </c>
      <c r="O21" s="987">
        <f t="shared" si="17"/>
        <v>0</v>
      </c>
      <c r="P21" s="1030">
        <f t="shared" si="27"/>
        <v>0</v>
      </c>
      <c r="Q21" s="987">
        <f t="shared" si="28"/>
        <v>0</v>
      </c>
      <c r="R21" s="987">
        <v>0</v>
      </c>
      <c r="S21" s="987">
        <f t="shared" si="29"/>
        <v>0</v>
      </c>
      <c r="T21" s="987">
        <f t="shared" si="30"/>
        <v>0</v>
      </c>
      <c r="U21" s="988">
        <f t="shared" si="18"/>
        <v>0</v>
      </c>
      <c r="V21" s="988">
        <f t="shared" si="19"/>
        <v>0</v>
      </c>
    </row>
    <row r="22" spans="1:22">
      <c r="A22" s="953">
        <v>16</v>
      </c>
      <c r="B22" s="954" t="s">
        <v>108</v>
      </c>
      <c r="C22" s="1080">
        <f>'2-1-13 SIS'!I22</f>
        <v>0</v>
      </c>
      <c r="D22" s="956">
        <f>'Table 3 Levels 1&amp;2'!AL23</f>
        <v>1530.3678845377474</v>
      </c>
      <c r="E22" s="1010">
        <f t="shared" si="20"/>
        <v>0</v>
      </c>
      <c r="F22" s="1010">
        <f>'Table 4 Level 3'!P21</f>
        <v>686.73</v>
      </c>
      <c r="G22" s="1010">
        <f t="shared" si="21"/>
        <v>0</v>
      </c>
      <c r="H22" s="957">
        <f t="shared" si="22"/>
        <v>0</v>
      </c>
      <c r="I22" s="1020">
        <f t="shared" si="23"/>
        <v>0</v>
      </c>
      <c r="J22" s="957">
        <f t="shared" si="24"/>
        <v>0</v>
      </c>
      <c r="K22" s="957">
        <v>0</v>
      </c>
      <c r="L22" s="957">
        <f t="shared" si="25"/>
        <v>0</v>
      </c>
      <c r="M22" s="957">
        <f t="shared" si="26"/>
        <v>0</v>
      </c>
      <c r="N22" s="981">
        <f>'[11]FY2013-14 Initial'!K23</f>
        <v>12132</v>
      </c>
      <c r="O22" s="958">
        <f t="shared" si="17"/>
        <v>0</v>
      </c>
      <c r="P22" s="1028">
        <f t="shared" si="27"/>
        <v>0</v>
      </c>
      <c r="Q22" s="958">
        <f t="shared" si="28"/>
        <v>0</v>
      </c>
      <c r="R22" s="958">
        <v>0</v>
      </c>
      <c r="S22" s="958">
        <f t="shared" si="29"/>
        <v>0</v>
      </c>
      <c r="T22" s="958">
        <f t="shared" si="30"/>
        <v>0</v>
      </c>
      <c r="U22" s="959">
        <f t="shared" si="18"/>
        <v>0</v>
      </c>
      <c r="V22" s="959">
        <f t="shared" si="19"/>
        <v>0</v>
      </c>
    </row>
    <row r="23" spans="1:22">
      <c r="A23" s="960">
        <v>17</v>
      </c>
      <c r="B23" s="961" t="s">
        <v>109</v>
      </c>
      <c r="C23" s="1078">
        <f>'2-1-13 SIS'!I23</f>
        <v>206</v>
      </c>
      <c r="D23" s="962">
        <f>'Table 3 Levels 1&amp;2'!AL24</f>
        <v>3313.0666313017805</v>
      </c>
      <c r="E23" s="1011">
        <f t="shared" si="20"/>
        <v>682491.72604816675</v>
      </c>
      <c r="F23" s="1011">
        <f>'Table 5B2_RSD_LA'!F7</f>
        <v>801.47762416806802</v>
      </c>
      <c r="G23" s="1011">
        <f t="shared" si="21"/>
        <v>165104.390578622</v>
      </c>
      <c r="H23" s="982">
        <f t="shared" si="22"/>
        <v>847596.11662678875</v>
      </c>
      <c r="I23" s="1021">
        <f t="shared" si="23"/>
        <v>-2118.9902915669718</v>
      </c>
      <c r="J23" s="982">
        <f t="shared" si="24"/>
        <v>845477.12633522181</v>
      </c>
      <c r="K23" s="982">
        <v>0</v>
      </c>
      <c r="L23" s="982">
        <f t="shared" si="25"/>
        <v>845477.12633522181</v>
      </c>
      <c r="M23" s="982">
        <f t="shared" si="26"/>
        <v>70456.427194601813</v>
      </c>
      <c r="N23" s="981">
        <f>'[11]FY2013-14 Initial'!K24</f>
        <v>6764</v>
      </c>
      <c r="O23" s="983">
        <f t="shared" si="17"/>
        <v>1393384</v>
      </c>
      <c r="P23" s="1029">
        <f t="shared" si="27"/>
        <v>-3483.46</v>
      </c>
      <c r="Q23" s="983">
        <f t="shared" si="28"/>
        <v>1389900.54</v>
      </c>
      <c r="R23" s="983">
        <v>0</v>
      </c>
      <c r="S23" s="983">
        <f t="shared" si="29"/>
        <v>1389900.54</v>
      </c>
      <c r="T23" s="983">
        <f t="shared" si="30"/>
        <v>115825.045</v>
      </c>
      <c r="U23" s="984">
        <f t="shared" si="18"/>
        <v>2235377.6663352218</v>
      </c>
      <c r="V23" s="984">
        <f t="shared" si="19"/>
        <v>186281.47219460181</v>
      </c>
    </row>
    <row r="24" spans="1:22">
      <c r="A24" s="960">
        <v>18</v>
      </c>
      <c r="B24" s="961" t="s">
        <v>110</v>
      </c>
      <c r="C24" s="1078">
        <f>'2-1-13 SIS'!I24</f>
        <v>0</v>
      </c>
      <c r="D24" s="962">
        <f>'Table 3 Levels 1&amp;2'!AL25</f>
        <v>5989.1351892854573</v>
      </c>
      <c r="E24" s="1011">
        <f t="shared" si="20"/>
        <v>0</v>
      </c>
      <c r="F24" s="1011">
        <f>'Table 4 Level 3'!P23</f>
        <v>845.94999999999993</v>
      </c>
      <c r="G24" s="1011">
        <f t="shared" si="21"/>
        <v>0</v>
      </c>
      <c r="H24" s="982">
        <f t="shared" si="22"/>
        <v>0</v>
      </c>
      <c r="I24" s="1021">
        <f t="shared" si="23"/>
        <v>0</v>
      </c>
      <c r="J24" s="982">
        <f t="shared" si="24"/>
        <v>0</v>
      </c>
      <c r="K24" s="982">
        <v>0</v>
      </c>
      <c r="L24" s="982">
        <f t="shared" si="25"/>
        <v>0</v>
      </c>
      <c r="M24" s="982">
        <f t="shared" si="26"/>
        <v>0</v>
      </c>
      <c r="N24" s="981">
        <f>'[11]FY2013-14 Initial'!K25</f>
        <v>2925</v>
      </c>
      <c r="O24" s="983">
        <f t="shared" si="17"/>
        <v>0</v>
      </c>
      <c r="P24" s="1029">
        <f t="shared" si="27"/>
        <v>0</v>
      </c>
      <c r="Q24" s="983">
        <f t="shared" si="28"/>
        <v>0</v>
      </c>
      <c r="R24" s="983">
        <v>0</v>
      </c>
      <c r="S24" s="983">
        <f t="shared" si="29"/>
        <v>0</v>
      </c>
      <c r="T24" s="983">
        <f t="shared" si="30"/>
        <v>0</v>
      </c>
      <c r="U24" s="984">
        <f t="shared" si="18"/>
        <v>0</v>
      </c>
      <c r="V24" s="984">
        <f t="shared" si="19"/>
        <v>0</v>
      </c>
    </row>
    <row r="25" spans="1:22">
      <c r="A25" s="960">
        <v>19</v>
      </c>
      <c r="B25" s="961" t="s">
        <v>111</v>
      </c>
      <c r="C25" s="1078">
        <f>'2-1-13 SIS'!I25</f>
        <v>0</v>
      </c>
      <c r="D25" s="962">
        <f>'Table 3 Levels 1&amp;2'!AL26</f>
        <v>5315.8913399708035</v>
      </c>
      <c r="E25" s="1011">
        <f t="shared" si="20"/>
        <v>0</v>
      </c>
      <c r="F25" s="1011">
        <f>'Table 4 Level 3'!P24</f>
        <v>905.43</v>
      </c>
      <c r="G25" s="1011">
        <f t="shared" si="21"/>
        <v>0</v>
      </c>
      <c r="H25" s="982">
        <f t="shared" si="22"/>
        <v>0</v>
      </c>
      <c r="I25" s="1021">
        <f t="shared" si="23"/>
        <v>0</v>
      </c>
      <c r="J25" s="982">
        <f t="shared" si="24"/>
        <v>0</v>
      </c>
      <c r="K25" s="982">
        <v>0</v>
      </c>
      <c r="L25" s="982">
        <f t="shared" si="25"/>
        <v>0</v>
      </c>
      <c r="M25" s="982">
        <f t="shared" si="26"/>
        <v>0</v>
      </c>
      <c r="N25" s="981">
        <f>'[11]FY2013-14 Initial'!K26</f>
        <v>2570</v>
      </c>
      <c r="O25" s="983">
        <f t="shared" si="17"/>
        <v>0</v>
      </c>
      <c r="P25" s="1029">
        <f t="shared" si="27"/>
        <v>0</v>
      </c>
      <c r="Q25" s="983">
        <f t="shared" si="28"/>
        <v>0</v>
      </c>
      <c r="R25" s="983">
        <v>0</v>
      </c>
      <c r="S25" s="983">
        <f t="shared" si="29"/>
        <v>0</v>
      </c>
      <c r="T25" s="983">
        <f t="shared" si="30"/>
        <v>0</v>
      </c>
      <c r="U25" s="984">
        <f t="shared" si="18"/>
        <v>0</v>
      </c>
      <c r="V25" s="984">
        <f t="shared" si="19"/>
        <v>0</v>
      </c>
    </row>
    <row r="26" spans="1:22">
      <c r="A26" s="963">
        <v>20</v>
      </c>
      <c r="B26" s="964" t="s">
        <v>112</v>
      </c>
      <c r="C26" s="1079">
        <f>'2-1-13 SIS'!I26</f>
        <v>0</v>
      </c>
      <c r="D26" s="965">
        <f>'Table 3 Levels 1&amp;2'!AL27</f>
        <v>5420.2042919205833</v>
      </c>
      <c r="E26" s="1012">
        <f t="shared" si="20"/>
        <v>0</v>
      </c>
      <c r="F26" s="1012">
        <f>'Table 4 Level 3'!P25</f>
        <v>586.16999999999996</v>
      </c>
      <c r="G26" s="1012">
        <f t="shared" si="21"/>
        <v>0</v>
      </c>
      <c r="H26" s="985">
        <f t="shared" si="22"/>
        <v>0</v>
      </c>
      <c r="I26" s="1022">
        <f t="shared" si="23"/>
        <v>0</v>
      </c>
      <c r="J26" s="985">
        <f t="shared" si="24"/>
        <v>0</v>
      </c>
      <c r="K26" s="985">
        <v>0</v>
      </c>
      <c r="L26" s="985">
        <f t="shared" si="25"/>
        <v>0</v>
      </c>
      <c r="M26" s="985">
        <f t="shared" si="26"/>
        <v>0</v>
      </c>
      <c r="N26" s="986">
        <f>'[11]FY2013-14 Initial'!K27</f>
        <v>2420</v>
      </c>
      <c r="O26" s="987">
        <f t="shared" si="17"/>
        <v>0</v>
      </c>
      <c r="P26" s="1030">
        <f t="shared" si="27"/>
        <v>0</v>
      </c>
      <c r="Q26" s="987">
        <f t="shared" si="28"/>
        <v>0</v>
      </c>
      <c r="R26" s="987">
        <v>0</v>
      </c>
      <c r="S26" s="987">
        <f t="shared" si="29"/>
        <v>0</v>
      </c>
      <c r="T26" s="987">
        <f t="shared" si="30"/>
        <v>0</v>
      </c>
      <c r="U26" s="988">
        <f t="shared" si="18"/>
        <v>0</v>
      </c>
      <c r="V26" s="988">
        <f t="shared" si="19"/>
        <v>0</v>
      </c>
    </row>
    <row r="27" spans="1:22">
      <c r="A27" s="953">
        <v>21</v>
      </c>
      <c r="B27" s="954" t="s">
        <v>113</v>
      </c>
      <c r="C27" s="1080">
        <f>'2-1-13 SIS'!I27</f>
        <v>0</v>
      </c>
      <c r="D27" s="956">
        <f>'Table 3 Levels 1&amp;2'!AL28</f>
        <v>5724.5404916279067</v>
      </c>
      <c r="E27" s="1010">
        <f t="shared" si="20"/>
        <v>0</v>
      </c>
      <c r="F27" s="1010">
        <f>'Table 4 Level 3'!P26</f>
        <v>610.35</v>
      </c>
      <c r="G27" s="1010">
        <f t="shared" si="21"/>
        <v>0</v>
      </c>
      <c r="H27" s="957">
        <f t="shared" si="22"/>
        <v>0</v>
      </c>
      <c r="I27" s="1020">
        <f t="shared" si="23"/>
        <v>0</v>
      </c>
      <c r="J27" s="957">
        <f t="shared" si="24"/>
        <v>0</v>
      </c>
      <c r="K27" s="957">
        <v>0</v>
      </c>
      <c r="L27" s="957">
        <f t="shared" si="25"/>
        <v>0</v>
      </c>
      <c r="M27" s="957">
        <f t="shared" si="26"/>
        <v>0</v>
      </c>
      <c r="N27" s="981">
        <f>'[11]FY2013-14 Initial'!K28</f>
        <v>2265</v>
      </c>
      <c r="O27" s="958">
        <f t="shared" si="17"/>
        <v>0</v>
      </c>
      <c r="P27" s="1028">
        <f t="shared" si="27"/>
        <v>0</v>
      </c>
      <c r="Q27" s="958">
        <f t="shared" si="28"/>
        <v>0</v>
      </c>
      <c r="R27" s="958">
        <v>0</v>
      </c>
      <c r="S27" s="958">
        <f t="shared" si="29"/>
        <v>0</v>
      </c>
      <c r="T27" s="958">
        <f t="shared" si="30"/>
        <v>0</v>
      </c>
      <c r="U27" s="959">
        <f t="shared" si="18"/>
        <v>0</v>
      </c>
      <c r="V27" s="959">
        <f t="shared" si="19"/>
        <v>0</v>
      </c>
    </row>
    <row r="28" spans="1:22">
      <c r="A28" s="960">
        <v>22</v>
      </c>
      <c r="B28" s="961" t="s">
        <v>114</v>
      </c>
      <c r="C28" s="1078">
        <f>'2-1-13 SIS'!I28</f>
        <v>0</v>
      </c>
      <c r="D28" s="962">
        <f>'Table 3 Levels 1&amp;2'!AL29</f>
        <v>6203.2933768722742</v>
      </c>
      <c r="E28" s="1011">
        <f t="shared" si="20"/>
        <v>0</v>
      </c>
      <c r="F28" s="1011">
        <f>'Table 4 Level 3'!P27</f>
        <v>496.36</v>
      </c>
      <c r="G28" s="1011">
        <f t="shared" si="21"/>
        <v>0</v>
      </c>
      <c r="H28" s="982">
        <f t="shared" si="22"/>
        <v>0</v>
      </c>
      <c r="I28" s="1021">
        <f t="shared" si="23"/>
        <v>0</v>
      </c>
      <c r="J28" s="982">
        <f t="shared" si="24"/>
        <v>0</v>
      </c>
      <c r="K28" s="982">
        <v>0</v>
      </c>
      <c r="L28" s="982">
        <f t="shared" si="25"/>
        <v>0</v>
      </c>
      <c r="M28" s="982">
        <f t="shared" si="26"/>
        <v>0</v>
      </c>
      <c r="N28" s="981">
        <f>'[11]FY2013-14 Initial'!K29</f>
        <v>1438</v>
      </c>
      <c r="O28" s="983">
        <f t="shared" si="17"/>
        <v>0</v>
      </c>
      <c r="P28" s="1029">
        <f t="shared" si="27"/>
        <v>0</v>
      </c>
      <c r="Q28" s="983">
        <f t="shared" si="28"/>
        <v>0</v>
      </c>
      <c r="R28" s="983">
        <v>0</v>
      </c>
      <c r="S28" s="983">
        <f t="shared" si="29"/>
        <v>0</v>
      </c>
      <c r="T28" s="983">
        <f t="shared" si="30"/>
        <v>0</v>
      </c>
      <c r="U28" s="984">
        <f t="shared" si="18"/>
        <v>0</v>
      </c>
      <c r="V28" s="984">
        <f t="shared" si="19"/>
        <v>0</v>
      </c>
    </row>
    <row r="29" spans="1:22">
      <c r="A29" s="960">
        <v>23</v>
      </c>
      <c r="B29" s="961" t="s">
        <v>115</v>
      </c>
      <c r="C29" s="1078">
        <f>'2-1-13 SIS'!I29</f>
        <v>0</v>
      </c>
      <c r="D29" s="962">
        <f>'Table 3 Levels 1&amp;2'!AL30</f>
        <v>4846.0802490067681</v>
      </c>
      <c r="E29" s="1011">
        <f t="shared" si="20"/>
        <v>0</v>
      </c>
      <c r="F29" s="1011">
        <f>'Table 4 Level 3'!P28</f>
        <v>688.58</v>
      </c>
      <c r="G29" s="1011">
        <f t="shared" si="21"/>
        <v>0</v>
      </c>
      <c r="H29" s="982">
        <f t="shared" si="22"/>
        <v>0</v>
      </c>
      <c r="I29" s="1021">
        <f t="shared" si="23"/>
        <v>0</v>
      </c>
      <c r="J29" s="982">
        <f t="shared" si="24"/>
        <v>0</v>
      </c>
      <c r="K29" s="982">
        <v>0</v>
      </c>
      <c r="L29" s="982">
        <f t="shared" si="25"/>
        <v>0</v>
      </c>
      <c r="M29" s="982">
        <f t="shared" si="26"/>
        <v>0</v>
      </c>
      <c r="N29" s="981">
        <f>'[11]FY2013-14 Initial'!K30</f>
        <v>3386</v>
      </c>
      <c r="O29" s="983">
        <f t="shared" si="17"/>
        <v>0</v>
      </c>
      <c r="P29" s="1029">
        <f t="shared" si="27"/>
        <v>0</v>
      </c>
      <c r="Q29" s="983">
        <f t="shared" si="28"/>
        <v>0</v>
      </c>
      <c r="R29" s="983">
        <v>0</v>
      </c>
      <c r="S29" s="983">
        <f t="shared" si="29"/>
        <v>0</v>
      </c>
      <c r="T29" s="983">
        <f t="shared" si="30"/>
        <v>0</v>
      </c>
      <c r="U29" s="984">
        <f t="shared" si="18"/>
        <v>0</v>
      </c>
      <c r="V29" s="984">
        <f t="shared" si="19"/>
        <v>0</v>
      </c>
    </row>
    <row r="30" spans="1:22">
      <c r="A30" s="960">
        <v>24</v>
      </c>
      <c r="B30" s="961" t="s">
        <v>116</v>
      </c>
      <c r="C30" s="1078">
        <f>'2-1-13 SIS'!I30</f>
        <v>0</v>
      </c>
      <c r="D30" s="962">
        <f>'Table 3 Levels 1&amp;2'!AL31</f>
        <v>2764.1216755319151</v>
      </c>
      <c r="E30" s="1011">
        <f t="shared" si="20"/>
        <v>0</v>
      </c>
      <c r="F30" s="1011">
        <f>'Table 4 Level 3'!P29</f>
        <v>854.24999999999989</v>
      </c>
      <c r="G30" s="1011">
        <f t="shared" si="21"/>
        <v>0</v>
      </c>
      <c r="H30" s="982">
        <f t="shared" si="22"/>
        <v>0</v>
      </c>
      <c r="I30" s="1021">
        <f t="shared" si="23"/>
        <v>0</v>
      </c>
      <c r="J30" s="982">
        <f t="shared" si="24"/>
        <v>0</v>
      </c>
      <c r="K30" s="982">
        <v>0</v>
      </c>
      <c r="L30" s="982">
        <f t="shared" si="25"/>
        <v>0</v>
      </c>
      <c r="M30" s="982">
        <f t="shared" si="26"/>
        <v>0</v>
      </c>
      <c r="N30" s="981">
        <f>'[11]FY2013-14 Initial'!K31</f>
        <v>9761</v>
      </c>
      <c r="O30" s="983">
        <f t="shared" si="17"/>
        <v>0</v>
      </c>
      <c r="P30" s="1029">
        <f t="shared" si="27"/>
        <v>0</v>
      </c>
      <c r="Q30" s="983">
        <f t="shared" si="28"/>
        <v>0</v>
      </c>
      <c r="R30" s="983">
        <v>0</v>
      </c>
      <c r="S30" s="983">
        <f t="shared" si="29"/>
        <v>0</v>
      </c>
      <c r="T30" s="983">
        <f t="shared" si="30"/>
        <v>0</v>
      </c>
      <c r="U30" s="984">
        <f t="shared" si="18"/>
        <v>0</v>
      </c>
      <c r="V30" s="984">
        <f t="shared" si="19"/>
        <v>0</v>
      </c>
    </row>
    <row r="31" spans="1:22">
      <c r="A31" s="963">
        <v>25</v>
      </c>
      <c r="B31" s="964" t="s">
        <v>117</v>
      </c>
      <c r="C31" s="1079">
        <f>'2-1-13 SIS'!I31</f>
        <v>0</v>
      </c>
      <c r="D31" s="965">
        <f>'Table 3 Levels 1&amp;2'!AL32</f>
        <v>3867.4480692053257</v>
      </c>
      <c r="E31" s="1012">
        <f t="shared" si="20"/>
        <v>0</v>
      </c>
      <c r="F31" s="1012">
        <f>'Table 4 Level 3'!P30</f>
        <v>653.73</v>
      </c>
      <c r="G31" s="1012">
        <f t="shared" si="21"/>
        <v>0</v>
      </c>
      <c r="H31" s="985">
        <f t="shared" si="22"/>
        <v>0</v>
      </c>
      <c r="I31" s="1022">
        <f t="shared" si="23"/>
        <v>0</v>
      </c>
      <c r="J31" s="985">
        <f t="shared" si="24"/>
        <v>0</v>
      </c>
      <c r="K31" s="985">
        <v>0</v>
      </c>
      <c r="L31" s="985">
        <f t="shared" si="25"/>
        <v>0</v>
      </c>
      <c r="M31" s="985">
        <f t="shared" si="26"/>
        <v>0</v>
      </c>
      <c r="N31" s="986">
        <f>'[11]FY2013-14 Initial'!K32</f>
        <v>4842</v>
      </c>
      <c r="O31" s="987">
        <f t="shared" si="17"/>
        <v>0</v>
      </c>
      <c r="P31" s="1030">
        <f t="shared" si="27"/>
        <v>0</v>
      </c>
      <c r="Q31" s="987">
        <f t="shared" si="28"/>
        <v>0</v>
      </c>
      <c r="R31" s="987">
        <v>0</v>
      </c>
      <c r="S31" s="987">
        <f t="shared" si="29"/>
        <v>0</v>
      </c>
      <c r="T31" s="987">
        <f t="shared" si="30"/>
        <v>0</v>
      </c>
      <c r="U31" s="988">
        <f t="shared" si="18"/>
        <v>0</v>
      </c>
      <c r="V31" s="988">
        <f t="shared" si="19"/>
        <v>0</v>
      </c>
    </row>
    <row r="32" spans="1:22">
      <c r="A32" s="953">
        <v>26</v>
      </c>
      <c r="B32" s="954" t="s">
        <v>118</v>
      </c>
      <c r="C32" s="1080">
        <f>'2-1-13 SIS'!I32</f>
        <v>0</v>
      </c>
      <c r="D32" s="956">
        <f>'Table 3 Levels 1&amp;2'!AL33</f>
        <v>3293.481526790355</v>
      </c>
      <c r="E32" s="1010">
        <f t="shared" si="20"/>
        <v>0</v>
      </c>
      <c r="F32" s="1010">
        <f>'Table 4 Level 3'!P31</f>
        <v>836.83</v>
      </c>
      <c r="G32" s="1010">
        <f t="shared" si="21"/>
        <v>0</v>
      </c>
      <c r="H32" s="957">
        <f t="shared" si="22"/>
        <v>0</v>
      </c>
      <c r="I32" s="1020">
        <f t="shared" si="23"/>
        <v>0</v>
      </c>
      <c r="J32" s="957">
        <f t="shared" si="24"/>
        <v>0</v>
      </c>
      <c r="K32" s="957">
        <v>0</v>
      </c>
      <c r="L32" s="957">
        <f t="shared" si="25"/>
        <v>0</v>
      </c>
      <c r="M32" s="957">
        <f t="shared" si="26"/>
        <v>0</v>
      </c>
      <c r="N32" s="981">
        <f>'[11]FY2013-14 Initial'!K33</f>
        <v>5301</v>
      </c>
      <c r="O32" s="958">
        <f t="shared" si="17"/>
        <v>0</v>
      </c>
      <c r="P32" s="1028">
        <f t="shared" si="27"/>
        <v>0</v>
      </c>
      <c r="Q32" s="958">
        <f t="shared" si="28"/>
        <v>0</v>
      </c>
      <c r="R32" s="958">
        <v>0</v>
      </c>
      <c r="S32" s="958">
        <f t="shared" si="29"/>
        <v>0</v>
      </c>
      <c r="T32" s="958">
        <f t="shared" si="30"/>
        <v>0</v>
      </c>
      <c r="U32" s="959">
        <f t="shared" si="18"/>
        <v>0</v>
      </c>
      <c r="V32" s="959">
        <f t="shared" si="19"/>
        <v>0</v>
      </c>
    </row>
    <row r="33" spans="1:22">
      <c r="A33" s="960">
        <v>27</v>
      </c>
      <c r="B33" s="961" t="s">
        <v>119</v>
      </c>
      <c r="C33" s="1081">
        <f>'2-1-13 SIS'!I33</f>
        <v>0</v>
      </c>
      <c r="D33" s="966">
        <f>'Table 3 Levels 1&amp;2'!AL34</f>
        <v>5680.7727517381973</v>
      </c>
      <c r="E33" s="1013">
        <f t="shared" si="20"/>
        <v>0</v>
      </c>
      <c r="F33" s="1013">
        <f>'Table 4 Level 3'!P32</f>
        <v>693.06</v>
      </c>
      <c r="G33" s="1013">
        <f t="shared" si="21"/>
        <v>0</v>
      </c>
      <c r="H33" s="989">
        <f t="shared" si="22"/>
        <v>0</v>
      </c>
      <c r="I33" s="1023">
        <f t="shared" si="23"/>
        <v>0</v>
      </c>
      <c r="J33" s="989">
        <f t="shared" si="24"/>
        <v>0</v>
      </c>
      <c r="K33" s="989">
        <v>0</v>
      </c>
      <c r="L33" s="989">
        <f t="shared" si="25"/>
        <v>0</v>
      </c>
      <c r="M33" s="989">
        <f t="shared" si="26"/>
        <v>0</v>
      </c>
      <c r="N33" s="981">
        <f>'[11]FY2013-14 Initial'!K34</f>
        <v>3252</v>
      </c>
      <c r="O33" s="983">
        <f t="shared" si="17"/>
        <v>0</v>
      </c>
      <c r="P33" s="1029">
        <f t="shared" si="27"/>
        <v>0</v>
      </c>
      <c r="Q33" s="983">
        <f t="shared" si="28"/>
        <v>0</v>
      </c>
      <c r="R33" s="983">
        <v>0</v>
      </c>
      <c r="S33" s="983">
        <f t="shared" si="29"/>
        <v>0</v>
      </c>
      <c r="T33" s="983">
        <f t="shared" si="30"/>
        <v>0</v>
      </c>
      <c r="U33" s="984">
        <f t="shared" si="18"/>
        <v>0</v>
      </c>
      <c r="V33" s="984">
        <f t="shared" si="19"/>
        <v>0</v>
      </c>
    </row>
    <row r="34" spans="1:22">
      <c r="A34" s="960">
        <v>28</v>
      </c>
      <c r="B34" s="961" t="s">
        <v>120</v>
      </c>
      <c r="C34" s="1081">
        <f>'2-1-13 SIS'!I34</f>
        <v>0</v>
      </c>
      <c r="D34" s="966">
        <f>'Table 3 Levels 1&amp;2'!AL35</f>
        <v>3163.1694438483169</v>
      </c>
      <c r="E34" s="1013">
        <f t="shared" si="20"/>
        <v>0</v>
      </c>
      <c r="F34" s="1013">
        <f>'Table 4 Level 3'!P33</f>
        <v>694.4</v>
      </c>
      <c r="G34" s="1013">
        <f t="shared" si="21"/>
        <v>0</v>
      </c>
      <c r="H34" s="989">
        <f t="shared" si="22"/>
        <v>0</v>
      </c>
      <c r="I34" s="1023">
        <f t="shared" si="23"/>
        <v>0</v>
      </c>
      <c r="J34" s="989">
        <f t="shared" si="24"/>
        <v>0</v>
      </c>
      <c r="K34" s="989">
        <v>0</v>
      </c>
      <c r="L34" s="989">
        <f t="shared" si="25"/>
        <v>0</v>
      </c>
      <c r="M34" s="989">
        <f t="shared" si="26"/>
        <v>0</v>
      </c>
      <c r="N34" s="981">
        <f>'[11]FY2013-14 Initial'!K35</f>
        <v>5361</v>
      </c>
      <c r="O34" s="983">
        <f t="shared" si="17"/>
        <v>0</v>
      </c>
      <c r="P34" s="1029">
        <f t="shared" si="27"/>
        <v>0</v>
      </c>
      <c r="Q34" s="983">
        <f t="shared" si="28"/>
        <v>0</v>
      </c>
      <c r="R34" s="983">
        <v>0</v>
      </c>
      <c r="S34" s="983">
        <f t="shared" si="29"/>
        <v>0</v>
      </c>
      <c r="T34" s="983">
        <f t="shared" si="30"/>
        <v>0</v>
      </c>
      <c r="U34" s="984">
        <f t="shared" si="18"/>
        <v>0</v>
      </c>
      <c r="V34" s="984">
        <f t="shared" si="19"/>
        <v>0</v>
      </c>
    </row>
    <row r="35" spans="1:22">
      <c r="A35" s="960">
        <v>29</v>
      </c>
      <c r="B35" s="961" t="s">
        <v>121</v>
      </c>
      <c r="C35" s="1081">
        <f>'2-1-13 SIS'!I35</f>
        <v>0</v>
      </c>
      <c r="D35" s="966">
        <f>'Table 3 Levels 1&amp;2'!AL36</f>
        <v>3952.5586133052648</v>
      </c>
      <c r="E35" s="1013">
        <f t="shared" si="20"/>
        <v>0</v>
      </c>
      <c r="F35" s="1013">
        <f>'Table 4 Level 3'!P34</f>
        <v>754.94999999999993</v>
      </c>
      <c r="G35" s="1013">
        <f t="shared" si="21"/>
        <v>0</v>
      </c>
      <c r="H35" s="989">
        <f t="shared" si="22"/>
        <v>0</v>
      </c>
      <c r="I35" s="1023">
        <f t="shared" si="23"/>
        <v>0</v>
      </c>
      <c r="J35" s="989">
        <f t="shared" si="24"/>
        <v>0</v>
      </c>
      <c r="K35" s="989">
        <v>0</v>
      </c>
      <c r="L35" s="989">
        <f t="shared" si="25"/>
        <v>0</v>
      </c>
      <c r="M35" s="989">
        <f t="shared" si="26"/>
        <v>0</v>
      </c>
      <c r="N35" s="981">
        <f>'[11]FY2013-14 Initial'!K36</f>
        <v>4763</v>
      </c>
      <c r="O35" s="983">
        <f t="shared" si="17"/>
        <v>0</v>
      </c>
      <c r="P35" s="1029">
        <f t="shared" si="27"/>
        <v>0</v>
      </c>
      <c r="Q35" s="983">
        <f t="shared" si="28"/>
        <v>0</v>
      </c>
      <c r="R35" s="983">
        <v>0</v>
      </c>
      <c r="S35" s="983">
        <f t="shared" si="29"/>
        <v>0</v>
      </c>
      <c r="T35" s="983">
        <f t="shared" si="30"/>
        <v>0</v>
      </c>
      <c r="U35" s="984">
        <f t="shared" si="18"/>
        <v>0</v>
      </c>
      <c r="V35" s="984">
        <f t="shared" si="19"/>
        <v>0</v>
      </c>
    </row>
    <row r="36" spans="1:22">
      <c r="A36" s="963">
        <v>30</v>
      </c>
      <c r="B36" s="964" t="s">
        <v>122</v>
      </c>
      <c r="C36" s="1082">
        <f>'2-1-13 SIS'!I36</f>
        <v>0</v>
      </c>
      <c r="D36" s="967">
        <f>'Table 3 Levels 1&amp;2'!AL37</f>
        <v>5648.6510465852989</v>
      </c>
      <c r="E36" s="1014">
        <f t="shared" si="20"/>
        <v>0</v>
      </c>
      <c r="F36" s="1014">
        <f>'Table 4 Level 3'!P35</f>
        <v>727.17</v>
      </c>
      <c r="G36" s="1014">
        <f t="shared" si="21"/>
        <v>0</v>
      </c>
      <c r="H36" s="990">
        <f t="shared" si="22"/>
        <v>0</v>
      </c>
      <c r="I36" s="1024">
        <f t="shared" si="23"/>
        <v>0</v>
      </c>
      <c r="J36" s="990">
        <f t="shared" si="24"/>
        <v>0</v>
      </c>
      <c r="K36" s="990">
        <v>0</v>
      </c>
      <c r="L36" s="990">
        <f t="shared" si="25"/>
        <v>0</v>
      </c>
      <c r="M36" s="990">
        <f t="shared" si="26"/>
        <v>0</v>
      </c>
      <c r="N36" s="986">
        <f>'[11]FY2013-14 Initial'!K37</f>
        <v>3236</v>
      </c>
      <c r="O36" s="987">
        <f t="shared" si="17"/>
        <v>0</v>
      </c>
      <c r="P36" s="1030">
        <f t="shared" si="27"/>
        <v>0</v>
      </c>
      <c r="Q36" s="987">
        <f t="shared" si="28"/>
        <v>0</v>
      </c>
      <c r="R36" s="987">
        <v>0</v>
      </c>
      <c r="S36" s="987">
        <f t="shared" si="29"/>
        <v>0</v>
      </c>
      <c r="T36" s="987">
        <f t="shared" si="30"/>
        <v>0</v>
      </c>
      <c r="U36" s="988">
        <f t="shared" si="18"/>
        <v>0</v>
      </c>
      <c r="V36" s="988">
        <f t="shared" si="19"/>
        <v>0</v>
      </c>
    </row>
    <row r="37" spans="1:22">
      <c r="A37" s="953">
        <v>31</v>
      </c>
      <c r="B37" s="954" t="s">
        <v>123</v>
      </c>
      <c r="C37" s="1083">
        <f>'2-1-13 SIS'!I37</f>
        <v>0</v>
      </c>
      <c r="D37" s="968">
        <f>'Table 3 Levels 1&amp;2'!AL38</f>
        <v>4348.9307899232972</v>
      </c>
      <c r="E37" s="1015">
        <f t="shared" si="20"/>
        <v>0</v>
      </c>
      <c r="F37" s="1015">
        <f>'Table 4 Level 3'!P36</f>
        <v>620.83000000000004</v>
      </c>
      <c r="G37" s="1015">
        <f t="shared" si="21"/>
        <v>0</v>
      </c>
      <c r="H37" s="991">
        <f t="shared" si="22"/>
        <v>0</v>
      </c>
      <c r="I37" s="1025">
        <f t="shared" si="23"/>
        <v>0</v>
      </c>
      <c r="J37" s="991">
        <f t="shared" si="24"/>
        <v>0</v>
      </c>
      <c r="K37" s="991">
        <v>0</v>
      </c>
      <c r="L37" s="991">
        <f t="shared" si="25"/>
        <v>0</v>
      </c>
      <c r="M37" s="991">
        <f t="shared" si="26"/>
        <v>0</v>
      </c>
      <c r="N37" s="981">
        <f>'[11]FY2013-14 Initial'!K38</f>
        <v>4795</v>
      </c>
      <c r="O37" s="958">
        <f t="shared" si="17"/>
        <v>0</v>
      </c>
      <c r="P37" s="1028">
        <f t="shared" si="27"/>
        <v>0</v>
      </c>
      <c r="Q37" s="958">
        <f t="shared" si="28"/>
        <v>0</v>
      </c>
      <c r="R37" s="958">
        <v>0</v>
      </c>
      <c r="S37" s="958">
        <f t="shared" si="29"/>
        <v>0</v>
      </c>
      <c r="T37" s="958">
        <f t="shared" si="30"/>
        <v>0</v>
      </c>
      <c r="U37" s="959">
        <f t="shared" si="18"/>
        <v>0</v>
      </c>
      <c r="V37" s="959">
        <f t="shared" si="19"/>
        <v>0</v>
      </c>
    </row>
    <row r="38" spans="1:22">
      <c r="A38" s="960">
        <v>32</v>
      </c>
      <c r="B38" s="961" t="s">
        <v>124</v>
      </c>
      <c r="C38" s="1081">
        <f>'2-1-13 SIS'!I38</f>
        <v>0</v>
      </c>
      <c r="D38" s="966">
        <f>'Table 3 Levels 1&amp;2'!AL39</f>
        <v>5531.5157655456787</v>
      </c>
      <c r="E38" s="1013">
        <f t="shared" si="20"/>
        <v>0</v>
      </c>
      <c r="F38" s="1013">
        <f>'Table 4 Level 3'!P37</f>
        <v>559.77</v>
      </c>
      <c r="G38" s="1013">
        <f t="shared" si="21"/>
        <v>0</v>
      </c>
      <c r="H38" s="989">
        <f t="shared" si="22"/>
        <v>0</v>
      </c>
      <c r="I38" s="1023">
        <f t="shared" si="23"/>
        <v>0</v>
      </c>
      <c r="J38" s="989">
        <f t="shared" si="24"/>
        <v>0</v>
      </c>
      <c r="K38" s="989">
        <v>0</v>
      </c>
      <c r="L38" s="989">
        <f t="shared" si="25"/>
        <v>0</v>
      </c>
      <c r="M38" s="989">
        <f t="shared" si="26"/>
        <v>0</v>
      </c>
      <c r="N38" s="981">
        <f>'[11]FY2013-14 Initial'!K39</f>
        <v>2109</v>
      </c>
      <c r="O38" s="983">
        <f t="shared" si="17"/>
        <v>0</v>
      </c>
      <c r="P38" s="1029">
        <f t="shared" si="27"/>
        <v>0</v>
      </c>
      <c r="Q38" s="983">
        <f t="shared" si="28"/>
        <v>0</v>
      </c>
      <c r="R38" s="983">
        <v>0</v>
      </c>
      <c r="S38" s="983">
        <f t="shared" si="29"/>
        <v>0</v>
      </c>
      <c r="T38" s="983">
        <f t="shared" si="30"/>
        <v>0</v>
      </c>
      <c r="U38" s="984">
        <f t="shared" si="18"/>
        <v>0</v>
      </c>
      <c r="V38" s="984">
        <f t="shared" si="19"/>
        <v>0</v>
      </c>
    </row>
    <row r="39" spans="1:22">
      <c r="A39" s="960">
        <v>33</v>
      </c>
      <c r="B39" s="961" t="s">
        <v>125</v>
      </c>
      <c r="C39" s="1081">
        <f>'2-1-13 SIS'!I39</f>
        <v>0</v>
      </c>
      <c r="D39" s="966">
        <f>'Table 3 Levels 1&amp;2'!AL40</f>
        <v>5329.5444226517857</v>
      </c>
      <c r="E39" s="1013">
        <f t="shared" si="20"/>
        <v>0</v>
      </c>
      <c r="F39" s="1013">
        <f>'Table 4 Level 3'!P38</f>
        <v>655.31000000000006</v>
      </c>
      <c r="G39" s="1013">
        <f t="shared" si="21"/>
        <v>0</v>
      </c>
      <c r="H39" s="989">
        <f t="shared" si="22"/>
        <v>0</v>
      </c>
      <c r="I39" s="1023">
        <f t="shared" si="23"/>
        <v>0</v>
      </c>
      <c r="J39" s="989">
        <f t="shared" si="24"/>
        <v>0</v>
      </c>
      <c r="K39" s="989">
        <v>0</v>
      </c>
      <c r="L39" s="989">
        <f t="shared" si="25"/>
        <v>0</v>
      </c>
      <c r="M39" s="989">
        <f t="shared" si="26"/>
        <v>0</v>
      </c>
      <c r="N39" s="981">
        <f>'[11]FY2013-14 Initial'!K40</f>
        <v>2649</v>
      </c>
      <c r="O39" s="983">
        <f t="shared" ref="O39:O70" si="31">C39*N39</f>
        <v>0</v>
      </c>
      <c r="P39" s="1029">
        <f t="shared" si="27"/>
        <v>0</v>
      </c>
      <c r="Q39" s="983">
        <f t="shared" si="28"/>
        <v>0</v>
      </c>
      <c r="R39" s="983">
        <v>0</v>
      </c>
      <c r="S39" s="983">
        <f t="shared" si="29"/>
        <v>0</v>
      </c>
      <c r="T39" s="983">
        <f t="shared" si="30"/>
        <v>0</v>
      </c>
      <c r="U39" s="984">
        <f t="shared" ref="U39:U75" si="32">L39+S39</f>
        <v>0</v>
      </c>
      <c r="V39" s="984">
        <f t="shared" ref="V39:V75" si="33">M39+T39</f>
        <v>0</v>
      </c>
    </row>
    <row r="40" spans="1:22">
      <c r="A40" s="960">
        <v>34</v>
      </c>
      <c r="B40" s="961" t="s">
        <v>126</v>
      </c>
      <c r="C40" s="1081">
        <f>'2-1-13 SIS'!I40</f>
        <v>0</v>
      </c>
      <c r="D40" s="966">
        <f>'Table 3 Levels 1&amp;2'!AL41</f>
        <v>6003.632932007491</v>
      </c>
      <c r="E40" s="1013">
        <f t="shared" si="20"/>
        <v>0</v>
      </c>
      <c r="F40" s="1013">
        <f>'Table 4 Level 3'!P39</f>
        <v>644.11000000000013</v>
      </c>
      <c r="G40" s="1013">
        <f t="shared" si="21"/>
        <v>0</v>
      </c>
      <c r="H40" s="989">
        <f t="shared" si="22"/>
        <v>0</v>
      </c>
      <c r="I40" s="1023">
        <f t="shared" si="23"/>
        <v>0</v>
      </c>
      <c r="J40" s="989">
        <f t="shared" si="24"/>
        <v>0</v>
      </c>
      <c r="K40" s="989">
        <v>0</v>
      </c>
      <c r="L40" s="989">
        <f t="shared" si="25"/>
        <v>0</v>
      </c>
      <c r="M40" s="989">
        <f t="shared" si="26"/>
        <v>0</v>
      </c>
      <c r="N40" s="981">
        <f>'[11]FY2013-14 Initial'!K41</f>
        <v>2817</v>
      </c>
      <c r="O40" s="983">
        <f t="shared" si="31"/>
        <v>0</v>
      </c>
      <c r="P40" s="1029">
        <f t="shared" si="27"/>
        <v>0</v>
      </c>
      <c r="Q40" s="983">
        <f t="shared" si="28"/>
        <v>0</v>
      </c>
      <c r="R40" s="983">
        <v>0</v>
      </c>
      <c r="S40" s="983">
        <f t="shared" si="29"/>
        <v>0</v>
      </c>
      <c r="T40" s="983">
        <f t="shared" si="30"/>
        <v>0</v>
      </c>
      <c r="U40" s="984">
        <f t="shared" si="32"/>
        <v>0</v>
      </c>
      <c r="V40" s="984">
        <f t="shared" si="33"/>
        <v>0</v>
      </c>
    </row>
    <row r="41" spans="1:22">
      <c r="A41" s="963">
        <v>35</v>
      </c>
      <c r="B41" s="964" t="s">
        <v>127</v>
      </c>
      <c r="C41" s="1082">
        <f>'2-1-13 SIS'!I41</f>
        <v>0</v>
      </c>
      <c r="D41" s="967">
        <f>'Table 3 Levels 1&amp;2'!AL42</f>
        <v>4607.1606416222867</v>
      </c>
      <c r="E41" s="1014">
        <f t="shared" si="20"/>
        <v>0</v>
      </c>
      <c r="F41" s="1014">
        <f>'Table 4 Level 3'!P40</f>
        <v>537.96</v>
      </c>
      <c r="G41" s="1014">
        <f t="shared" si="21"/>
        <v>0</v>
      </c>
      <c r="H41" s="990">
        <f t="shared" si="22"/>
        <v>0</v>
      </c>
      <c r="I41" s="1024">
        <f t="shared" si="23"/>
        <v>0</v>
      </c>
      <c r="J41" s="990">
        <f t="shared" si="24"/>
        <v>0</v>
      </c>
      <c r="K41" s="990">
        <v>0</v>
      </c>
      <c r="L41" s="990">
        <f t="shared" si="25"/>
        <v>0</v>
      </c>
      <c r="M41" s="990">
        <f t="shared" si="26"/>
        <v>0</v>
      </c>
      <c r="N41" s="986">
        <f>'[11]FY2013-14 Initial'!K42</f>
        <v>3298</v>
      </c>
      <c r="O41" s="987">
        <f t="shared" si="31"/>
        <v>0</v>
      </c>
      <c r="P41" s="1030">
        <f t="shared" si="27"/>
        <v>0</v>
      </c>
      <c r="Q41" s="987">
        <f t="shared" si="28"/>
        <v>0</v>
      </c>
      <c r="R41" s="987">
        <v>0</v>
      </c>
      <c r="S41" s="987">
        <f t="shared" si="29"/>
        <v>0</v>
      </c>
      <c r="T41" s="987">
        <f t="shared" si="30"/>
        <v>0</v>
      </c>
      <c r="U41" s="988">
        <f t="shared" si="32"/>
        <v>0</v>
      </c>
      <c r="V41" s="988">
        <f t="shared" si="33"/>
        <v>0</v>
      </c>
    </row>
    <row r="42" spans="1:22">
      <c r="A42" s="953">
        <v>36</v>
      </c>
      <c r="B42" s="954" t="s">
        <v>128</v>
      </c>
      <c r="C42" s="1083">
        <f>'2-1-13 SIS'!I42</f>
        <v>0</v>
      </c>
      <c r="D42" s="968">
        <f>'Table 3 Levels 1&amp;2'!AL43</f>
        <v>3520.4894337711748</v>
      </c>
      <c r="E42" s="1015">
        <f t="shared" si="20"/>
        <v>0</v>
      </c>
      <c r="F42" s="1015">
        <f>'Table 5B1_RSD_Orleans'!F78</f>
        <v>746.0335616438357</v>
      </c>
      <c r="G42" s="1015">
        <f t="shared" si="21"/>
        <v>0</v>
      </c>
      <c r="H42" s="991">
        <f t="shared" si="22"/>
        <v>0</v>
      </c>
      <c r="I42" s="1025">
        <f t="shared" si="23"/>
        <v>0</v>
      </c>
      <c r="J42" s="991">
        <f t="shared" si="24"/>
        <v>0</v>
      </c>
      <c r="K42" s="991">
        <v>0</v>
      </c>
      <c r="L42" s="991">
        <f t="shared" si="25"/>
        <v>0</v>
      </c>
      <c r="M42" s="991">
        <f t="shared" si="26"/>
        <v>0</v>
      </c>
      <c r="N42" s="981">
        <f>'[11]FY2013-14 Initial'!K43</f>
        <v>5442</v>
      </c>
      <c r="O42" s="958">
        <f t="shared" si="31"/>
        <v>0</v>
      </c>
      <c r="P42" s="1028">
        <f t="shared" si="27"/>
        <v>0</v>
      </c>
      <c r="Q42" s="958">
        <f t="shared" si="28"/>
        <v>0</v>
      </c>
      <c r="R42" s="958">
        <v>0</v>
      </c>
      <c r="S42" s="958">
        <f t="shared" si="29"/>
        <v>0</v>
      </c>
      <c r="T42" s="958">
        <f t="shared" si="30"/>
        <v>0</v>
      </c>
      <c r="U42" s="959">
        <f t="shared" si="32"/>
        <v>0</v>
      </c>
      <c r="V42" s="959">
        <f t="shared" si="33"/>
        <v>0</v>
      </c>
    </row>
    <row r="43" spans="1:22">
      <c r="A43" s="960">
        <v>37</v>
      </c>
      <c r="B43" s="961" t="s">
        <v>129</v>
      </c>
      <c r="C43" s="1081">
        <f>'2-1-13 SIS'!I43</f>
        <v>0</v>
      </c>
      <c r="D43" s="966">
        <f>'Table 3 Levels 1&amp;2'!AL44</f>
        <v>5503.7595641818853</v>
      </c>
      <c r="E43" s="1013">
        <f t="shared" si="20"/>
        <v>0</v>
      </c>
      <c r="F43" s="1013">
        <f>'Table 4 Level 3'!P42</f>
        <v>653.61</v>
      </c>
      <c r="G43" s="1013">
        <f t="shared" si="21"/>
        <v>0</v>
      </c>
      <c r="H43" s="989">
        <f t="shared" si="22"/>
        <v>0</v>
      </c>
      <c r="I43" s="1023">
        <f t="shared" si="23"/>
        <v>0</v>
      </c>
      <c r="J43" s="989">
        <f t="shared" si="24"/>
        <v>0</v>
      </c>
      <c r="K43" s="989">
        <v>0</v>
      </c>
      <c r="L43" s="989">
        <f t="shared" si="25"/>
        <v>0</v>
      </c>
      <c r="M43" s="989">
        <f t="shared" si="26"/>
        <v>0</v>
      </c>
      <c r="N43" s="981">
        <f>'[11]FY2013-14 Initial'!K44</f>
        <v>3227</v>
      </c>
      <c r="O43" s="983">
        <f t="shared" si="31"/>
        <v>0</v>
      </c>
      <c r="P43" s="1029">
        <f t="shared" si="27"/>
        <v>0</v>
      </c>
      <c r="Q43" s="983">
        <f t="shared" si="28"/>
        <v>0</v>
      </c>
      <c r="R43" s="983">
        <v>0</v>
      </c>
      <c r="S43" s="983">
        <f t="shared" si="29"/>
        <v>0</v>
      </c>
      <c r="T43" s="983">
        <f t="shared" si="30"/>
        <v>0</v>
      </c>
      <c r="U43" s="984">
        <f t="shared" si="32"/>
        <v>0</v>
      </c>
      <c r="V43" s="984">
        <f t="shared" si="33"/>
        <v>0</v>
      </c>
    </row>
    <row r="44" spans="1:22">
      <c r="A44" s="960">
        <v>38</v>
      </c>
      <c r="B44" s="961" t="s">
        <v>130</v>
      </c>
      <c r="C44" s="1081">
        <f>'2-1-13 SIS'!I44</f>
        <v>0</v>
      </c>
      <c r="D44" s="966">
        <f>'Table 3 Levels 1&amp;2'!AL45</f>
        <v>2192.7545275590551</v>
      </c>
      <c r="E44" s="1013">
        <f t="shared" si="20"/>
        <v>0</v>
      </c>
      <c r="F44" s="1013">
        <f>'Table 4 Level 3'!P43</f>
        <v>829.92000000000007</v>
      </c>
      <c r="G44" s="1013">
        <f t="shared" si="21"/>
        <v>0</v>
      </c>
      <c r="H44" s="989">
        <f t="shared" si="22"/>
        <v>0</v>
      </c>
      <c r="I44" s="1023">
        <f t="shared" si="23"/>
        <v>0</v>
      </c>
      <c r="J44" s="989">
        <f t="shared" si="24"/>
        <v>0</v>
      </c>
      <c r="K44" s="989">
        <v>0</v>
      </c>
      <c r="L44" s="989">
        <f t="shared" si="25"/>
        <v>0</v>
      </c>
      <c r="M44" s="989">
        <f t="shared" si="26"/>
        <v>0</v>
      </c>
      <c r="N44" s="981">
        <f>'[11]FY2013-14 Initial'!K45</f>
        <v>10867</v>
      </c>
      <c r="O44" s="983">
        <f t="shared" si="31"/>
        <v>0</v>
      </c>
      <c r="P44" s="1029">
        <f t="shared" si="27"/>
        <v>0</v>
      </c>
      <c r="Q44" s="983">
        <f t="shared" si="28"/>
        <v>0</v>
      </c>
      <c r="R44" s="983">
        <v>0</v>
      </c>
      <c r="S44" s="983">
        <f t="shared" si="29"/>
        <v>0</v>
      </c>
      <c r="T44" s="983">
        <f t="shared" si="30"/>
        <v>0</v>
      </c>
      <c r="U44" s="984">
        <f t="shared" si="32"/>
        <v>0</v>
      </c>
      <c r="V44" s="984">
        <f t="shared" si="33"/>
        <v>0</v>
      </c>
    </row>
    <row r="45" spans="1:22">
      <c r="A45" s="960">
        <v>39</v>
      </c>
      <c r="B45" s="961" t="s">
        <v>131</v>
      </c>
      <c r="C45" s="1081">
        <f>'2-1-13 SIS'!I45</f>
        <v>0</v>
      </c>
      <c r="D45" s="966">
        <f>'Table 3 Levels 1&amp;2'!AL46</f>
        <v>3639.9942778062696</v>
      </c>
      <c r="E45" s="1013">
        <f t="shared" si="20"/>
        <v>0</v>
      </c>
      <c r="F45" s="1013">
        <f>'Table 5B2_RSD_LA'!F21</f>
        <v>779.65573042776441</v>
      </c>
      <c r="G45" s="1013">
        <f t="shared" si="21"/>
        <v>0</v>
      </c>
      <c r="H45" s="989">
        <f t="shared" si="22"/>
        <v>0</v>
      </c>
      <c r="I45" s="1023">
        <f t="shared" si="23"/>
        <v>0</v>
      </c>
      <c r="J45" s="989">
        <f t="shared" si="24"/>
        <v>0</v>
      </c>
      <c r="K45" s="989">
        <v>0</v>
      </c>
      <c r="L45" s="989">
        <f t="shared" si="25"/>
        <v>0</v>
      </c>
      <c r="M45" s="989">
        <f t="shared" si="26"/>
        <v>0</v>
      </c>
      <c r="N45" s="981">
        <f>'[11]FY2013-14 Initial'!K46</f>
        <v>4324</v>
      </c>
      <c r="O45" s="983">
        <f t="shared" si="31"/>
        <v>0</v>
      </c>
      <c r="P45" s="1029">
        <f t="shared" si="27"/>
        <v>0</v>
      </c>
      <c r="Q45" s="983">
        <f t="shared" si="28"/>
        <v>0</v>
      </c>
      <c r="R45" s="983">
        <v>0</v>
      </c>
      <c r="S45" s="983">
        <f t="shared" si="29"/>
        <v>0</v>
      </c>
      <c r="T45" s="983">
        <f t="shared" si="30"/>
        <v>0</v>
      </c>
      <c r="U45" s="984">
        <f t="shared" si="32"/>
        <v>0</v>
      </c>
      <c r="V45" s="984">
        <f t="shared" si="33"/>
        <v>0</v>
      </c>
    </row>
    <row r="46" spans="1:22">
      <c r="A46" s="963">
        <v>40</v>
      </c>
      <c r="B46" s="964" t="s">
        <v>132</v>
      </c>
      <c r="C46" s="1082">
        <f>'2-1-13 SIS'!I46</f>
        <v>0</v>
      </c>
      <c r="D46" s="967">
        <f>'Table 3 Levels 1&amp;2'!AL47</f>
        <v>4928.4974462701202</v>
      </c>
      <c r="E46" s="1014">
        <f t="shared" si="20"/>
        <v>0</v>
      </c>
      <c r="F46" s="1014">
        <f>'Table 4 Level 3'!P45</f>
        <v>700.2700000000001</v>
      </c>
      <c r="G46" s="1014">
        <f t="shared" si="21"/>
        <v>0</v>
      </c>
      <c r="H46" s="990">
        <f t="shared" si="22"/>
        <v>0</v>
      </c>
      <c r="I46" s="1024">
        <f t="shared" si="23"/>
        <v>0</v>
      </c>
      <c r="J46" s="990">
        <f t="shared" si="24"/>
        <v>0</v>
      </c>
      <c r="K46" s="990">
        <v>0</v>
      </c>
      <c r="L46" s="990">
        <f t="shared" si="25"/>
        <v>0</v>
      </c>
      <c r="M46" s="990">
        <f t="shared" si="26"/>
        <v>0</v>
      </c>
      <c r="N46" s="986">
        <f>'[11]FY2013-14 Initial'!K47</f>
        <v>3007</v>
      </c>
      <c r="O46" s="987">
        <f t="shared" si="31"/>
        <v>0</v>
      </c>
      <c r="P46" s="1030">
        <f t="shared" si="27"/>
        <v>0</v>
      </c>
      <c r="Q46" s="987">
        <f t="shared" si="28"/>
        <v>0</v>
      </c>
      <c r="R46" s="987">
        <v>0</v>
      </c>
      <c r="S46" s="987">
        <f t="shared" si="29"/>
        <v>0</v>
      </c>
      <c r="T46" s="987">
        <f t="shared" si="30"/>
        <v>0</v>
      </c>
      <c r="U46" s="988">
        <f t="shared" si="32"/>
        <v>0</v>
      </c>
      <c r="V46" s="988">
        <f t="shared" si="33"/>
        <v>0</v>
      </c>
    </row>
    <row r="47" spans="1:22">
      <c r="A47" s="953">
        <v>41</v>
      </c>
      <c r="B47" s="954" t="s">
        <v>133</v>
      </c>
      <c r="C47" s="1083">
        <f>'2-1-13 SIS'!I47</f>
        <v>0</v>
      </c>
      <c r="D47" s="968">
        <f>'Table 3 Levels 1&amp;2'!AL48</f>
        <v>1615.6013465627216</v>
      </c>
      <c r="E47" s="1015">
        <f t="shared" si="20"/>
        <v>0</v>
      </c>
      <c r="F47" s="1015">
        <f>'Table 4 Level 3'!P46</f>
        <v>886.22</v>
      </c>
      <c r="G47" s="1015">
        <f t="shared" si="21"/>
        <v>0</v>
      </c>
      <c r="H47" s="991">
        <f t="shared" si="22"/>
        <v>0</v>
      </c>
      <c r="I47" s="1025">
        <f t="shared" si="23"/>
        <v>0</v>
      </c>
      <c r="J47" s="991">
        <f t="shared" si="24"/>
        <v>0</v>
      </c>
      <c r="K47" s="991">
        <v>0</v>
      </c>
      <c r="L47" s="991">
        <f t="shared" si="25"/>
        <v>0</v>
      </c>
      <c r="M47" s="991">
        <f t="shared" si="26"/>
        <v>0</v>
      </c>
      <c r="N47" s="981">
        <f>'[11]FY2013-14 Initial'!K48</f>
        <v>9087</v>
      </c>
      <c r="O47" s="958">
        <f t="shared" si="31"/>
        <v>0</v>
      </c>
      <c r="P47" s="1028">
        <f t="shared" si="27"/>
        <v>0</v>
      </c>
      <c r="Q47" s="958">
        <f t="shared" si="28"/>
        <v>0</v>
      </c>
      <c r="R47" s="958">
        <v>0</v>
      </c>
      <c r="S47" s="958">
        <f t="shared" si="29"/>
        <v>0</v>
      </c>
      <c r="T47" s="958">
        <f t="shared" si="30"/>
        <v>0</v>
      </c>
      <c r="U47" s="959">
        <f t="shared" si="32"/>
        <v>0</v>
      </c>
      <c r="V47" s="959">
        <f t="shared" si="33"/>
        <v>0</v>
      </c>
    </row>
    <row r="48" spans="1:22">
      <c r="A48" s="960">
        <v>42</v>
      </c>
      <c r="B48" s="961" t="s">
        <v>134</v>
      </c>
      <c r="C48" s="1081">
        <f>'2-1-13 SIS'!I48</f>
        <v>0</v>
      </c>
      <c r="D48" s="966">
        <f>'Table 3 Levels 1&amp;2'!AL49</f>
        <v>5087.4730460987803</v>
      </c>
      <c r="E48" s="1013">
        <f t="shared" si="20"/>
        <v>0</v>
      </c>
      <c r="F48" s="1013">
        <f>'Table 4 Level 3'!P47</f>
        <v>534.28</v>
      </c>
      <c r="G48" s="1013">
        <f t="shared" si="21"/>
        <v>0</v>
      </c>
      <c r="H48" s="989">
        <f t="shared" si="22"/>
        <v>0</v>
      </c>
      <c r="I48" s="1023">
        <f t="shared" si="23"/>
        <v>0</v>
      </c>
      <c r="J48" s="989">
        <f t="shared" si="24"/>
        <v>0</v>
      </c>
      <c r="K48" s="989">
        <v>0</v>
      </c>
      <c r="L48" s="989">
        <f t="shared" si="25"/>
        <v>0</v>
      </c>
      <c r="M48" s="989">
        <f t="shared" si="26"/>
        <v>0</v>
      </c>
      <c r="N48" s="981">
        <f>'[11]FY2013-14 Initial'!K49</f>
        <v>2867</v>
      </c>
      <c r="O48" s="983">
        <f t="shared" si="31"/>
        <v>0</v>
      </c>
      <c r="P48" s="1029">
        <f t="shared" si="27"/>
        <v>0</v>
      </c>
      <c r="Q48" s="983">
        <f t="shared" si="28"/>
        <v>0</v>
      </c>
      <c r="R48" s="983">
        <v>0</v>
      </c>
      <c r="S48" s="983">
        <f t="shared" si="29"/>
        <v>0</v>
      </c>
      <c r="T48" s="983">
        <f t="shared" si="30"/>
        <v>0</v>
      </c>
      <c r="U48" s="984">
        <f t="shared" si="32"/>
        <v>0</v>
      </c>
      <c r="V48" s="984">
        <f t="shared" si="33"/>
        <v>0</v>
      </c>
    </row>
    <row r="49" spans="1:22">
      <c r="A49" s="960">
        <v>43</v>
      </c>
      <c r="B49" s="961" t="s">
        <v>135</v>
      </c>
      <c r="C49" s="1081">
        <f>'2-1-13 SIS'!I49</f>
        <v>0</v>
      </c>
      <c r="D49" s="966">
        <f>'Table 3 Levels 1&amp;2'!AL50</f>
        <v>4717.8414352725031</v>
      </c>
      <c r="E49" s="1013">
        <f t="shared" si="20"/>
        <v>0</v>
      </c>
      <c r="F49" s="1013">
        <f>'Table 4 Level 3'!P48</f>
        <v>574.6099999999999</v>
      </c>
      <c r="G49" s="1013">
        <f t="shared" si="21"/>
        <v>0</v>
      </c>
      <c r="H49" s="989">
        <f t="shared" si="22"/>
        <v>0</v>
      </c>
      <c r="I49" s="1023">
        <f t="shared" si="23"/>
        <v>0</v>
      </c>
      <c r="J49" s="989">
        <f t="shared" si="24"/>
        <v>0</v>
      </c>
      <c r="K49" s="989">
        <v>0</v>
      </c>
      <c r="L49" s="989">
        <f t="shared" si="25"/>
        <v>0</v>
      </c>
      <c r="M49" s="989">
        <f t="shared" si="26"/>
        <v>0</v>
      </c>
      <c r="N49" s="981">
        <f>'[11]FY2013-14 Initial'!K50</f>
        <v>3587</v>
      </c>
      <c r="O49" s="983">
        <f t="shared" si="31"/>
        <v>0</v>
      </c>
      <c r="P49" s="1029">
        <f t="shared" si="27"/>
        <v>0</v>
      </c>
      <c r="Q49" s="983">
        <f t="shared" si="28"/>
        <v>0</v>
      </c>
      <c r="R49" s="983">
        <v>0</v>
      </c>
      <c r="S49" s="983">
        <f t="shared" si="29"/>
        <v>0</v>
      </c>
      <c r="T49" s="983">
        <f t="shared" si="30"/>
        <v>0</v>
      </c>
      <c r="U49" s="984">
        <f t="shared" si="32"/>
        <v>0</v>
      </c>
      <c r="V49" s="984">
        <f t="shared" si="33"/>
        <v>0</v>
      </c>
    </row>
    <row r="50" spans="1:22">
      <c r="A50" s="960">
        <v>44</v>
      </c>
      <c r="B50" s="961" t="s">
        <v>136</v>
      </c>
      <c r="C50" s="1081">
        <f>'2-1-13 SIS'!I50</f>
        <v>0</v>
      </c>
      <c r="D50" s="966">
        <f>'Table 3 Levels 1&amp;2'!AL51</f>
        <v>4696.6221228259064</v>
      </c>
      <c r="E50" s="1013">
        <f t="shared" si="20"/>
        <v>0</v>
      </c>
      <c r="F50" s="1013">
        <f>'Table 4 Level 3'!P49</f>
        <v>663.16000000000008</v>
      </c>
      <c r="G50" s="1013">
        <f t="shared" si="21"/>
        <v>0</v>
      </c>
      <c r="H50" s="989">
        <f t="shared" si="22"/>
        <v>0</v>
      </c>
      <c r="I50" s="1023">
        <f t="shared" si="23"/>
        <v>0</v>
      </c>
      <c r="J50" s="989">
        <f t="shared" si="24"/>
        <v>0</v>
      </c>
      <c r="K50" s="989">
        <v>0</v>
      </c>
      <c r="L50" s="989">
        <f t="shared" si="25"/>
        <v>0</v>
      </c>
      <c r="M50" s="989">
        <f t="shared" si="26"/>
        <v>0</v>
      </c>
      <c r="N50" s="981">
        <f>'[11]FY2013-14 Initial'!K51</f>
        <v>4561</v>
      </c>
      <c r="O50" s="983">
        <f t="shared" si="31"/>
        <v>0</v>
      </c>
      <c r="P50" s="1029">
        <f t="shared" si="27"/>
        <v>0</v>
      </c>
      <c r="Q50" s="983">
        <f t="shared" si="28"/>
        <v>0</v>
      </c>
      <c r="R50" s="983">
        <v>0</v>
      </c>
      <c r="S50" s="983">
        <f t="shared" si="29"/>
        <v>0</v>
      </c>
      <c r="T50" s="983">
        <f t="shared" si="30"/>
        <v>0</v>
      </c>
      <c r="U50" s="984">
        <f t="shared" si="32"/>
        <v>0</v>
      </c>
      <c r="V50" s="984">
        <f t="shared" si="33"/>
        <v>0</v>
      </c>
    </row>
    <row r="51" spans="1:22">
      <c r="A51" s="963">
        <v>45</v>
      </c>
      <c r="B51" s="964" t="s">
        <v>137</v>
      </c>
      <c r="C51" s="1082">
        <f>'2-1-13 SIS'!I51</f>
        <v>0</v>
      </c>
      <c r="D51" s="967">
        <f>'Table 3 Levels 1&amp;2'!AL52</f>
        <v>2192.4914538932262</v>
      </c>
      <c r="E51" s="1014">
        <f t="shared" si="20"/>
        <v>0</v>
      </c>
      <c r="F51" s="1014">
        <f>'Table 4 Level 3'!P50</f>
        <v>753.96000000000015</v>
      </c>
      <c r="G51" s="1014">
        <f t="shared" si="21"/>
        <v>0</v>
      </c>
      <c r="H51" s="990">
        <f t="shared" si="22"/>
        <v>0</v>
      </c>
      <c r="I51" s="1024">
        <f t="shared" si="23"/>
        <v>0</v>
      </c>
      <c r="J51" s="990">
        <f t="shared" si="24"/>
        <v>0</v>
      </c>
      <c r="K51" s="990">
        <v>0</v>
      </c>
      <c r="L51" s="990">
        <f t="shared" si="25"/>
        <v>0</v>
      </c>
      <c r="M51" s="990">
        <f t="shared" si="26"/>
        <v>0</v>
      </c>
      <c r="N51" s="986">
        <f>'[11]FY2013-14 Initial'!K52</f>
        <v>11287</v>
      </c>
      <c r="O51" s="987">
        <f t="shared" si="31"/>
        <v>0</v>
      </c>
      <c r="P51" s="1030">
        <f t="shared" si="27"/>
        <v>0</v>
      </c>
      <c r="Q51" s="987">
        <f t="shared" si="28"/>
        <v>0</v>
      </c>
      <c r="R51" s="987">
        <v>0</v>
      </c>
      <c r="S51" s="987">
        <f t="shared" si="29"/>
        <v>0</v>
      </c>
      <c r="T51" s="987">
        <f t="shared" si="30"/>
        <v>0</v>
      </c>
      <c r="U51" s="988">
        <f t="shared" si="32"/>
        <v>0</v>
      </c>
      <c r="V51" s="988">
        <f t="shared" si="33"/>
        <v>0</v>
      </c>
    </row>
    <row r="52" spans="1:22">
      <c r="A52" s="953">
        <v>46</v>
      </c>
      <c r="B52" s="954" t="s">
        <v>138</v>
      </c>
      <c r="C52" s="1083">
        <f>'2-1-13 SIS'!I52</f>
        <v>0</v>
      </c>
      <c r="D52" s="968">
        <f>'Table 3 Levels 1&amp;2'!AL53</f>
        <v>5644.6599115241634</v>
      </c>
      <c r="E52" s="1015">
        <f t="shared" si="20"/>
        <v>0</v>
      </c>
      <c r="F52" s="1015">
        <f>'Table 4 Level 3'!P51</f>
        <v>728.06</v>
      </c>
      <c r="G52" s="1015">
        <f t="shared" si="21"/>
        <v>0</v>
      </c>
      <c r="H52" s="991">
        <f t="shared" si="22"/>
        <v>0</v>
      </c>
      <c r="I52" s="1025">
        <f t="shared" si="23"/>
        <v>0</v>
      </c>
      <c r="J52" s="991">
        <f t="shared" si="24"/>
        <v>0</v>
      </c>
      <c r="K52" s="991">
        <v>0</v>
      </c>
      <c r="L52" s="991">
        <f t="shared" si="25"/>
        <v>0</v>
      </c>
      <c r="M52" s="991">
        <f t="shared" si="26"/>
        <v>0</v>
      </c>
      <c r="N52" s="981">
        <f>'[11]FY2013-14 Initial'!K53</f>
        <v>2150</v>
      </c>
      <c r="O52" s="958">
        <f t="shared" si="31"/>
        <v>0</v>
      </c>
      <c r="P52" s="1028">
        <f t="shared" si="27"/>
        <v>0</v>
      </c>
      <c r="Q52" s="958">
        <f t="shared" si="28"/>
        <v>0</v>
      </c>
      <c r="R52" s="958">
        <v>0</v>
      </c>
      <c r="S52" s="958">
        <f t="shared" si="29"/>
        <v>0</v>
      </c>
      <c r="T52" s="958">
        <f t="shared" si="30"/>
        <v>0</v>
      </c>
      <c r="U52" s="959">
        <f t="shared" si="32"/>
        <v>0</v>
      </c>
      <c r="V52" s="959">
        <f t="shared" si="33"/>
        <v>0</v>
      </c>
    </row>
    <row r="53" spans="1:22">
      <c r="A53" s="960">
        <v>47</v>
      </c>
      <c r="B53" s="961" t="s">
        <v>139</v>
      </c>
      <c r="C53" s="1081">
        <f>'2-1-13 SIS'!I53</f>
        <v>0</v>
      </c>
      <c r="D53" s="966">
        <f>'Table 3 Levels 1&amp;2'!AL54</f>
        <v>2731.2444076222037</v>
      </c>
      <c r="E53" s="1013">
        <f t="shared" si="20"/>
        <v>0</v>
      </c>
      <c r="F53" s="1013">
        <f>'Table 4 Level 3'!P52</f>
        <v>910.76</v>
      </c>
      <c r="G53" s="1013">
        <f t="shared" si="21"/>
        <v>0</v>
      </c>
      <c r="H53" s="989">
        <f t="shared" si="22"/>
        <v>0</v>
      </c>
      <c r="I53" s="1023">
        <f t="shared" si="23"/>
        <v>0</v>
      </c>
      <c r="J53" s="989">
        <f t="shared" si="24"/>
        <v>0</v>
      </c>
      <c r="K53" s="989">
        <v>0</v>
      </c>
      <c r="L53" s="989">
        <f t="shared" si="25"/>
        <v>0</v>
      </c>
      <c r="M53" s="989">
        <f t="shared" si="26"/>
        <v>0</v>
      </c>
      <c r="N53" s="981">
        <f>'[11]FY2013-14 Initial'!K54</f>
        <v>13280</v>
      </c>
      <c r="O53" s="983">
        <f t="shared" si="31"/>
        <v>0</v>
      </c>
      <c r="P53" s="1029">
        <f t="shared" si="27"/>
        <v>0</v>
      </c>
      <c r="Q53" s="983">
        <f t="shared" si="28"/>
        <v>0</v>
      </c>
      <c r="R53" s="983">
        <v>0</v>
      </c>
      <c r="S53" s="983">
        <f t="shared" si="29"/>
        <v>0</v>
      </c>
      <c r="T53" s="983">
        <f t="shared" si="30"/>
        <v>0</v>
      </c>
      <c r="U53" s="984">
        <f t="shared" si="32"/>
        <v>0</v>
      </c>
      <c r="V53" s="984">
        <f t="shared" si="33"/>
        <v>0</v>
      </c>
    </row>
    <row r="54" spans="1:22">
      <c r="A54" s="960">
        <v>48</v>
      </c>
      <c r="B54" s="961" t="s">
        <v>197</v>
      </c>
      <c r="C54" s="1081">
        <f>'2-1-13 SIS'!I54</f>
        <v>0</v>
      </c>
      <c r="D54" s="966">
        <f>'Table 3 Levels 1&amp;2'!AL55</f>
        <v>4272.723323083942</v>
      </c>
      <c r="E54" s="1013">
        <f t="shared" si="20"/>
        <v>0</v>
      </c>
      <c r="F54" s="1013">
        <f>'Table 4 Level 3'!P53</f>
        <v>871.07</v>
      </c>
      <c r="G54" s="1013">
        <f t="shared" si="21"/>
        <v>0</v>
      </c>
      <c r="H54" s="989">
        <f t="shared" si="22"/>
        <v>0</v>
      </c>
      <c r="I54" s="1023">
        <f t="shared" si="23"/>
        <v>0</v>
      </c>
      <c r="J54" s="989">
        <f t="shared" si="24"/>
        <v>0</v>
      </c>
      <c r="K54" s="989">
        <v>0</v>
      </c>
      <c r="L54" s="989">
        <f t="shared" si="25"/>
        <v>0</v>
      </c>
      <c r="M54" s="989">
        <f t="shared" si="26"/>
        <v>0</v>
      </c>
      <c r="N54" s="981">
        <f>'[11]FY2013-14 Initial'!K55</f>
        <v>6453</v>
      </c>
      <c r="O54" s="983">
        <f t="shared" si="31"/>
        <v>0</v>
      </c>
      <c r="P54" s="1029">
        <f t="shared" si="27"/>
        <v>0</v>
      </c>
      <c r="Q54" s="983">
        <f t="shared" si="28"/>
        <v>0</v>
      </c>
      <c r="R54" s="983">
        <v>0</v>
      </c>
      <c r="S54" s="983">
        <f t="shared" si="29"/>
        <v>0</v>
      </c>
      <c r="T54" s="983">
        <f t="shared" si="30"/>
        <v>0</v>
      </c>
      <c r="U54" s="984">
        <f t="shared" si="32"/>
        <v>0</v>
      </c>
      <c r="V54" s="984">
        <f t="shared" si="33"/>
        <v>0</v>
      </c>
    </row>
    <row r="55" spans="1:22">
      <c r="A55" s="960">
        <v>49</v>
      </c>
      <c r="B55" s="961" t="s">
        <v>140</v>
      </c>
      <c r="C55" s="1081">
        <f>'2-1-13 SIS'!I55</f>
        <v>0</v>
      </c>
      <c r="D55" s="966">
        <f>'Table 3 Levels 1&amp;2'!AL56</f>
        <v>4836.7092570332552</v>
      </c>
      <c r="E55" s="1013">
        <f t="shared" si="20"/>
        <v>0</v>
      </c>
      <c r="F55" s="1013">
        <f>'Table 4 Level 3'!P54</f>
        <v>574.43999999999994</v>
      </c>
      <c r="G55" s="1013">
        <f t="shared" si="21"/>
        <v>0</v>
      </c>
      <c r="H55" s="989">
        <f t="shared" si="22"/>
        <v>0</v>
      </c>
      <c r="I55" s="1023">
        <f t="shared" si="23"/>
        <v>0</v>
      </c>
      <c r="J55" s="989">
        <f t="shared" si="24"/>
        <v>0</v>
      </c>
      <c r="K55" s="989">
        <v>0</v>
      </c>
      <c r="L55" s="989">
        <f t="shared" si="25"/>
        <v>0</v>
      </c>
      <c r="M55" s="989">
        <f t="shared" si="26"/>
        <v>0</v>
      </c>
      <c r="N55" s="981">
        <f>'[11]FY2013-14 Initial'!K56</f>
        <v>2287</v>
      </c>
      <c r="O55" s="983">
        <f t="shared" si="31"/>
        <v>0</v>
      </c>
      <c r="P55" s="1029">
        <f t="shared" si="27"/>
        <v>0</v>
      </c>
      <c r="Q55" s="983">
        <f t="shared" si="28"/>
        <v>0</v>
      </c>
      <c r="R55" s="983">
        <v>0</v>
      </c>
      <c r="S55" s="983">
        <f t="shared" si="29"/>
        <v>0</v>
      </c>
      <c r="T55" s="983">
        <f t="shared" si="30"/>
        <v>0</v>
      </c>
      <c r="U55" s="984">
        <f t="shared" si="32"/>
        <v>0</v>
      </c>
      <c r="V55" s="984">
        <f t="shared" si="33"/>
        <v>0</v>
      </c>
    </row>
    <row r="56" spans="1:22">
      <c r="A56" s="963">
        <v>50</v>
      </c>
      <c r="B56" s="964" t="s">
        <v>141</v>
      </c>
      <c r="C56" s="1082">
        <f>'2-1-13 SIS'!I56</f>
        <v>0</v>
      </c>
      <c r="D56" s="967">
        <f>'Table 3 Levels 1&amp;2'!AL57</f>
        <v>5032.6862895017111</v>
      </c>
      <c r="E56" s="1014">
        <f t="shared" si="20"/>
        <v>0</v>
      </c>
      <c r="F56" s="1014">
        <f>'Table 4 Level 3'!P55</f>
        <v>634.46</v>
      </c>
      <c r="G56" s="1014">
        <f t="shared" si="21"/>
        <v>0</v>
      </c>
      <c r="H56" s="990">
        <f t="shared" si="22"/>
        <v>0</v>
      </c>
      <c r="I56" s="1024">
        <f t="shared" si="23"/>
        <v>0</v>
      </c>
      <c r="J56" s="990">
        <f t="shared" si="24"/>
        <v>0</v>
      </c>
      <c r="K56" s="990">
        <v>0</v>
      </c>
      <c r="L56" s="990">
        <f t="shared" si="25"/>
        <v>0</v>
      </c>
      <c r="M56" s="990">
        <f t="shared" si="26"/>
        <v>0</v>
      </c>
      <c r="N56" s="986">
        <f>'[11]FY2013-14 Initial'!K57</f>
        <v>2801</v>
      </c>
      <c r="O56" s="987">
        <f t="shared" si="31"/>
        <v>0</v>
      </c>
      <c r="P56" s="1030">
        <f t="shared" si="27"/>
        <v>0</v>
      </c>
      <c r="Q56" s="987">
        <f t="shared" si="28"/>
        <v>0</v>
      </c>
      <c r="R56" s="987">
        <v>0</v>
      </c>
      <c r="S56" s="987">
        <f t="shared" si="29"/>
        <v>0</v>
      </c>
      <c r="T56" s="987">
        <f t="shared" si="30"/>
        <v>0</v>
      </c>
      <c r="U56" s="988">
        <f t="shared" si="32"/>
        <v>0</v>
      </c>
      <c r="V56" s="988">
        <f t="shared" si="33"/>
        <v>0</v>
      </c>
    </row>
    <row r="57" spans="1:22">
      <c r="A57" s="953">
        <v>51</v>
      </c>
      <c r="B57" s="954" t="s">
        <v>142</v>
      </c>
      <c r="C57" s="1083">
        <f>'2-1-13 SIS'!I57</f>
        <v>0</v>
      </c>
      <c r="D57" s="968">
        <f>'Table 3 Levels 1&amp;2'!AL58</f>
        <v>4246.0339872793602</v>
      </c>
      <c r="E57" s="1015">
        <f t="shared" si="20"/>
        <v>0</v>
      </c>
      <c r="F57" s="1015">
        <f>'Table 4 Level 3'!P56</f>
        <v>706.66</v>
      </c>
      <c r="G57" s="1015">
        <f t="shared" si="21"/>
        <v>0</v>
      </c>
      <c r="H57" s="991">
        <f t="shared" si="22"/>
        <v>0</v>
      </c>
      <c r="I57" s="1025">
        <f t="shared" si="23"/>
        <v>0</v>
      </c>
      <c r="J57" s="991">
        <f t="shared" si="24"/>
        <v>0</v>
      </c>
      <c r="K57" s="991">
        <v>0</v>
      </c>
      <c r="L57" s="991">
        <f t="shared" si="25"/>
        <v>0</v>
      </c>
      <c r="M57" s="991">
        <f t="shared" si="26"/>
        <v>0</v>
      </c>
      <c r="N57" s="981">
        <f>'[11]FY2013-14 Initial'!K58</f>
        <v>4215</v>
      </c>
      <c r="O57" s="958">
        <f t="shared" si="31"/>
        <v>0</v>
      </c>
      <c r="P57" s="1028">
        <f t="shared" si="27"/>
        <v>0</v>
      </c>
      <c r="Q57" s="958">
        <f t="shared" si="28"/>
        <v>0</v>
      </c>
      <c r="R57" s="958">
        <v>0</v>
      </c>
      <c r="S57" s="958">
        <f t="shared" si="29"/>
        <v>0</v>
      </c>
      <c r="T57" s="958">
        <f t="shared" si="30"/>
        <v>0</v>
      </c>
      <c r="U57" s="959">
        <f t="shared" si="32"/>
        <v>0</v>
      </c>
      <c r="V57" s="959">
        <f t="shared" si="33"/>
        <v>0</v>
      </c>
    </row>
    <row r="58" spans="1:22">
      <c r="A58" s="960">
        <v>52</v>
      </c>
      <c r="B58" s="961" t="s">
        <v>143</v>
      </c>
      <c r="C58" s="1081">
        <f>'2-1-13 SIS'!I58</f>
        <v>0</v>
      </c>
      <c r="D58" s="966">
        <f>'Table 3 Levels 1&amp;2'!AL59</f>
        <v>5013.4438050113249</v>
      </c>
      <c r="E58" s="1013">
        <f t="shared" si="20"/>
        <v>0</v>
      </c>
      <c r="F58" s="1013">
        <f>'Table 4 Level 3'!P57</f>
        <v>658.37</v>
      </c>
      <c r="G58" s="1013">
        <f t="shared" si="21"/>
        <v>0</v>
      </c>
      <c r="H58" s="989">
        <f t="shared" si="22"/>
        <v>0</v>
      </c>
      <c r="I58" s="1023">
        <f t="shared" si="23"/>
        <v>0</v>
      </c>
      <c r="J58" s="989">
        <f t="shared" si="24"/>
        <v>0</v>
      </c>
      <c r="K58" s="989">
        <v>0</v>
      </c>
      <c r="L58" s="989">
        <f t="shared" si="25"/>
        <v>0</v>
      </c>
      <c r="M58" s="989">
        <f t="shared" si="26"/>
        <v>0</v>
      </c>
      <c r="N58" s="981">
        <f>'[11]FY2013-14 Initial'!K59</f>
        <v>4889</v>
      </c>
      <c r="O58" s="983">
        <f t="shared" si="31"/>
        <v>0</v>
      </c>
      <c r="P58" s="1029">
        <f t="shared" si="27"/>
        <v>0</v>
      </c>
      <c r="Q58" s="983">
        <f t="shared" si="28"/>
        <v>0</v>
      </c>
      <c r="R58" s="983">
        <v>0</v>
      </c>
      <c r="S58" s="983">
        <f t="shared" si="29"/>
        <v>0</v>
      </c>
      <c r="T58" s="983">
        <f t="shared" si="30"/>
        <v>0</v>
      </c>
      <c r="U58" s="984">
        <f t="shared" si="32"/>
        <v>0</v>
      </c>
      <c r="V58" s="984">
        <f t="shared" si="33"/>
        <v>0</v>
      </c>
    </row>
    <row r="59" spans="1:22">
      <c r="A59" s="960">
        <v>53</v>
      </c>
      <c r="B59" s="961" t="s">
        <v>144</v>
      </c>
      <c r="C59" s="1081">
        <f>'2-1-13 SIS'!I59</f>
        <v>0</v>
      </c>
      <c r="D59" s="966">
        <f>'Table 3 Levels 1&amp;2'!AL60</f>
        <v>4775.5877635581091</v>
      </c>
      <c r="E59" s="1013">
        <f t="shared" si="20"/>
        <v>0</v>
      </c>
      <c r="F59" s="1013">
        <f>'Table 4 Level 3'!P58</f>
        <v>689.74</v>
      </c>
      <c r="G59" s="1013">
        <f t="shared" si="21"/>
        <v>0</v>
      </c>
      <c r="H59" s="989">
        <f t="shared" si="22"/>
        <v>0</v>
      </c>
      <c r="I59" s="1023">
        <f t="shared" si="23"/>
        <v>0</v>
      </c>
      <c r="J59" s="989">
        <f t="shared" si="24"/>
        <v>0</v>
      </c>
      <c r="K59" s="989">
        <v>0</v>
      </c>
      <c r="L59" s="989">
        <f t="shared" si="25"/>
        <v>0</v>
      </c>
      <c r="M59" s="989">
        <f t="shared" si="26"/>
        <v>0</v>
      </c>
      <c r="N59" s="981">
        <f>'[11]FY2013-14 Initial'!K60</f>
        <v>2119</v>
      </c>
      <c r="O59" s="983">
        <f t="shared" si="31"/>
        <v>0</v>
      </c>
      <c r="P59" s="1029">
        <f t="shared" si="27"/>
        <v>0</v>
      </c>
      <c r="Q59" s="983">
        <f t="shared" si="28"/>
        <v>0</v>
      </c>
      <c r="R59" s="983">
        <v>0</v>
      </c>
      <c r="S59" s="983">
        <f t="shared" si="29"/>
        <v>0</v>
      </c>
      <c r="T59" s="983">
        <f t="shared" si="30"/>
        <v>0</v>
      </c>
      <c r="U59" s="984">
        <f t="shared" si="32"/>
        <v>0</v>
      </c>
      <c r="V59" s="984">
        <f t="shared" si="33"/>
        <v>0</v>
      </c>
    </row>
    <row r="60" spans="1:22">
      <c r="A60" s="960">
        <v>54</v>
      </c>
      <c r="B60" s="961" t="s">
        <v>145</v>
      </c>
      <c r="C60" s="1081">
        <f>'2-1-13 SIS'!I60</f>
        <v>0</v>
      </c>
      <c r="D60" s="966">
        <f>'Table 3 Levels 1&amp;2'!AL61</f>
        <v>5951.8009386275662</v>
      </c>
      <c r="E60" s="1013">
        <f t="shared" si="20"/>
        <v>0</v>
      </c>
      <c r="F60" s="1013">
        <f>'Table 4 Level 3'!P59</f>
        <v>951.45</v>
      </c>
      <c r="G60" s="1013">
        <f t="shared" si="21"/>
        <v>0</v>
      </c>
      <c r="H60" s="989">
        <f t="shared" si="22"/>
        <v>0</v>
      </c>
      <c r="I60" s="1023">
        <f t="shared" si="23"/>
        <v>0</v>
      </c>
      <c r="J60" s="989">
        <f t="shared" si="24"/>
        <v>0</v>
      </c>
      <c r="K60" s="989">
        <v>0</v>
      </c>
      <c r="L60" s="989">
        <f t="shared" si="25"/>
        <v>0</v>
      </c>
      <c r="M60" s="989">
        <f t="shared" si="26"/>
        <v>0</v>
      </c>
      <c r="N60" s="981">
        <f>'[11]FY2013-14 Initial'!K61</f>
        <v>3690</v>
      </c>
      <c r="O60" s="983">
        <f t="shared" si="31"/>
        <v>0</v>
      </c>
      <c r="P60" s="1029">
        <f t="shared" si="27"/>
        <v>0</v>
      </c>
      <c r="Q60" s="983">
        <f t="shared" si="28"/>
        <v>0</v>
      </c>
      <c r="R60" s="983">
        <v>0</v>
      </c>
      <c r="S60" s="983">
        <f t="shared" si="29"/>
        <v>0</v>
      </c>
      <c r="T60" s="983">
        <f t="shared" si="30"/>
        <v>0</v>
      </c>
      <c r="U60" s="984">
        <f t="shared" si="32"/>
        <v>0</v>
      </c>
      <c r="V60" s="984">
        <f t="shared" si="33"/>
        <v>0</v>
      </c>
    </row>
    <row r="61" spans="1:22">
      <c r="A61" s="963">
        <v>55</v>
      </c>
      <c r="B61" s="964" t="s">
        <v>146</v>
      </c>
      <c r="C61" s="1082">
        <f>'2-1-13 SIS'!I61</f>
        <v>0</v>
      </c>
      <c r="D61" s="967">
        <f>'Table 3 Levels 1&amp;2'!AL62</f>
        <v>4171.0434735233157</v>
      </c>
      <c r="E61" s="1014">
        <f t="shared" si="20"/>
        <v>0</v>
      </c>
      <c r="F61" s="1014">
        <f>'Table 4 Level 3'!P60</f>
        <v>795.14</v>
      </c>
      <c r="G61" s="1014">
        <f t="shared" si="21"/>
        <v>0</v>
      </c>
      <c r="H61" s="990">
        <f t="shared" si="22"/>
        <v>0</v>
      </c>
      <c r="I61" s="1024">
        <f t="shared" si="23"/>
        <v>0</v>
      </c>
      <c r="J61" s="990">
        <f t="shared" si="24"/>
        <v>0</v>
      </c>
      <c r="K61" s="990">
        <v>0</v>
      </c>
      <c r="L61" s="990">
        <f t="shared" si="25"/>
        <v>0</v>
      </c>
      <c r="M61" s="990">
        <f t="shared" si="26"/>
        <v>0</v>
      </c>
      <c r="N61" s="986">
        <f>'[11]FY2013-14 Initial'!K62</f>
        <v>3157</v>
      </c>
      <c r="O61" s="987">
        <f t="shared" si="31"/>
        <v>0</v>
      </c>
      <c r="P61" s="1030">
        <f t="shared" si="27"/>
        <v>0</v>
      </c>
      <c r="Q61" s="987">
        <f t="shared" si="28"/>
        <v>0</v>
      </c>
      <c r="R61" s="987">
        <v>0</v>
      </c>
      <c r="S61" s="987">
        <f t="shared" si="29"/>
        <v>0</v>
      </c>
      <c r="T61" s="987">
        <f t="shared" si="30"/>
        <v>0</v>
      </c>
      <c r="U61" s="988">
        <f t="shared" si="32"/>
        <v>0</v>
      </c>
      <c r="V61" s="988">
        <f t="shared" si="33"/>
        <v>0</v>
      </c>
    </row>
    <row r="62" spans="1:22">
      <c r="A62" s="953">
        <v>56</v>
      </c>
      <c r="B62" s="954" t="s">
        <v>147</v>
      </c>
      <c r="C62" s="1083">
        <f>'2-1-13 SIS'!I62</f>
        <v>0</v>
      </c>
      <c r="D62" s="968">
        <f>'Table 3 Levels 1&amp;2'!AL63</f>
        <v>4968.593189672727</v>
      </c>
      <c r="E62" s="1015">
        <f t="shared" si="20"/>
        <v>0</v>
      </c>
      <c r="F62" s="1015">
        <f>'Table 4 Level 3'!P61</f>
        <v>614.66000000000008</v>
      </c>
      <c r="G62" s="1015">
        <f t="shared" si="21"/>
        <v>0</v>
      </c>
      <c r="H62" s="991">
        <f t="shared" si="22"/>
        <v>0</v>
      </c>
      <c r="I62" s="1025">
        <f t="shared" si="23"/>
        <v>0</v>
      </c>
      <c r="J62" s="991">
        <f t="shared" si="24"/>
        <v>0</v>
      </c>
      <c r="K62" s="991">
        <v>0</v>
      </c>
      <c r="L62" s="991">
        <f t="shared" si="25"/>
        <v>0</v>
      </c>
      <c r="M62" s="991">
        <f t="shared" si="26"/>
        <v>0</v>
      </c>
      <c r="N62" s="981">
        <f>'[11]FY2013-14 Initial'!K63</f>
        <v>2779</v>
      </c>
      <c r="O62" s="958">
        <f t="shared" si="31"/>
        <v>0</v>
      </c>
      <c r="P62" s="1028">
        <f t="shared" si="27"/>
        <v>0</v>
      </c>
      <c r="Q62" s="958">
        <f t="shared" si="28"/>
        <v>0</v>
      </c>
      <c r="R62" s="958">
        <v>0</v>
      </c>
      <c r="S62" s="958">
        <f t="shared" si="29"/>
        <v>0</v>
      </c>
      <c r="T62" s="958">
        <f t="shared" si="30"/>
        <v>0</v>
      </c>
      <c r="U62" s="959">
        <f t="shared" si="32"/>
        <v>0</v>
      </c>
      <c r="V62" s="959">
        <f t="shared" si="33"/>
        <v>0</v>
      </c>
    </row>
    <row r="63" spans="1:22">
      <c r="A63" s="960">
        <v>57</v>
      </c>
      <c r="B63" s="961" t="s">
        <v>148</v>
      </c>
      <c r="C63" s="1081">
        <f>'2-1-13 SIS'!I63</f>
        <v>0</v>
      </c>
      <c r="D63" s="966">
        <f>'Table 3 Levels 1&amp;2'!AL64</f>
        <v>4485.7073020218859</v>
      </c>
      <c r="E63" s="1013">
        <f t="shared" si="20"/>
        <v>0</v>
      </c>
      <c r="F63" s="1013">
        <f>'Table 4 Level 3'!P62</f>
        <v>764.51</v>
      </c>
      <c r="G63" s="1013">
        <f t="shared" si="21"/>
        <v>0</v>
      </c>
      <c r="H63" s="989">
        <f t="shared" si="22"/>
        <v>0</v>
      </c>
      <c r="I63" s="1023">
        <f t="shared" si="23"/>
        <v>0</v>
      </c>
      <c r="J63" s="989">
        <f t="shared" si="24"/>
        <v>0</v>
      </c>
      <c r="K63" s="989">
        <v>0</v>
      </c>
      <c r="L63" s="989">
        <f t="shared" si="25"/>
        <v>0</v>
      </c>
      <c r="M63" s="989">
        <f t="shared" si="26"/>
        <v>0</v>
      </c>
      <c r="N63" s="981">
        <f>'[11]FY2013-14 Initial'!K64</f>
        <v>3107</v>
      </c>
      <c r="O63" s="983">
        <f t="shared" si="31"/>
        <v>0</v>
      </c>
      <c r="P63" s="1029">
        <f t="shared" si="27"/>
        <v>0</v>
      </c>
      <c r="Q63" s="983">
        <f t="shared" si="28"/>
        <v>0</v>
      </c>
      <c r="R63" s="983">
        <v>0</v>
      </c>
      <c r="S63" s="983">
        <f t="shared" si="29"/>
        <v>0</v>
      </c>
      <c r="T63" s="983">
        <f t="shared" si="30"/>
        <v>0</v>
      </c>
      <c r="U63" s="984">
        <f t="shared" si="32"/>
        <v>0</v>
      </c>
      <c r="V63" s="984">
        <f t="shared" si="33"/>
        <v>0</v>
      </c>
    </row>
    <row r="64" spans="1:22">
      <c r="A64" s="960">
        <v>58</v>
      </c>
      <c r="B64" s="961" t="s">
        <v>149</v>
      </c>
      <c r="C64" s="1081">
        <f>'2-1-13 SIS'!I64</f>
        <v>0</v>
      </c>
      <c r="D64" s="966">
        <f>'Table 3 Levels 1&amp;2'!AL65</f>
        <v>5457.8662803476354</v>
      </c>
      <c r="E64" s="1013">
        <f t="shared" si="20"/>
        <v>0</v>
      </c>
      <c r="F64" s="1013">
        <f>'Table 4 Level 3'!P63</f>
        <v>697.04</v>
      </c>
      <c r="G64" s="1013">
        <f t="shared" si="21"/>
        <v>0</v>
      </c>
      <c r="H64" s="989">
        <f t="shared" si="22"/>
        <v>0</v>
      </c>
      <c r="I64" s="1023">
        <f t="shared" si="23"/>
        <v>0</v>
      </c>
      <c r="J64" s="989">
        <f t="shared" si="24"/>
        <v>0</v>
      </c>
      <c r="K64" s="989">
        <v>0</v>
      </c>
      <c r="L64" s="989">
        <f t="shared" si="25"/>
        <v>0</v>
      </c>
      <c r="M64" s="989">
        <f t="shared" si="26"/>
        <v>0</v>
      </c>
      <c r="N64" s="981">
        <f>'[11]FY2013-14 Initial'!K65</f>
        <v>2105</v>
      </c>
      <c r="O64" s="983">
        <f t="shared" si="31"/>
        <v>0</v>
      </c>
      <c r="P64" s="1029">
        <f t="shared" si="27"/>
        <v>0</v>
      </c>
      <c r="Q64" s="983">
        <f t="shared" si="28"/>
        <v>0</v>
      </c>
      <c r="R64" s="983">
        <v>0</v>
      </c>
      <c r="S64" s="983">
        <f t="shared" si="29"/>
        <v>0</v>
      </c>
      <c r="T64" s="983">
        <f t="shared" si="30"/>
        <v>0</v>
      </c>
      <c r="U64" s="984">
        <f t="shared" si="32"/>
        <v>0</v>
      </c>
      <c r="V64" s="984">
        <f t="shared" si="33"/>
        <v>0</v>
      </c>
    </row>
    <row r="65" spans="1:22">
      <c r="A65" s="960">
        <v>59</v>
      </c>
      <c r="B65" s="961" t="s">
        <v>150</v>
      </c>
      <c r="C65" s="1081">
        <f>'2-1-13 SIS'!I65</f>
        <v>0</v>
      </c>
      <c r="D65" s="966">
        <f>'Table 3 Levels 1&amp;2'!AL66</f>
        <v>6274.2786338006481</v>
      </c>
      <c r="E65" s="1013">
        <f t="shared" si="20"/>
        <v>0</v>
      </c>
      <c r="F65" s="1013">
        <f>'Table 4 Level 3'!P64</f>
        <v>689.52</v>
      </c>
      <c r="G65" s="1013">
        <f t="shared" si="21"/>
        <v>0</v>
      </c>
      <c r="H65" s="989">
        <f t="shared" si="22"/>
        <v>0</v>
      </c>
      <c r="I65" s="1023">
        <f t="shared" si="23"/>
        <v>0</v>
      </c>
      <c r="J65" s="989">
        <f t="shared" si="24"/>
        <v>0</v>
      </c>
      <c r="K65" s="989">
        <v>0</v>
      </c>
      <c r="L65" s="989">
        <f t="shared" si="25"/>
        <v>0</v>
      </c>
      <c r="M65" s="989">
        <f t="shared" si="26"/>
        <v>0</v>
      </c>
      <c r="N65" s="981">
        <f>'[11]FY2013-14 Initial'!K66</f>
        <v>1510</v>
      </c>
      <c r="O65" s="983">
        <f t="shared" si="31"/>
        <v>0</v>
      </c>
      <c r="P65" s="1029">
        <f t="shared" si="27"/>
        <v>0</v>
      </c>
      <c r="Q65" s="983">
        <f t="shared" si="28"/>
        <v>0</v>
      </c>
      <c r="R65" s="983">
        <v>0</v>
      </c>
      <c r="S65" s="983">
        <f t="shared" si="29"/>
        <v>0</v>
      </c>
      <c r="T65" s="983">
        <f t="shared" si="30"/>
        <v>0</v>
      </c>
      <c r="U65" s="984">
        <f t="shared" si="32"/>
        <v>0</v>
      </c>
      <c r="V65" s="984">
        <f t="shared" si="33"/>
        <v>0</v>
      </c>
    </row>
    <row r="66" spans="1:22">
      <c r="A66" s="963">
        <v>60</v>
      </c>
      <c r="B66" s="964" t="s">
        <v>151</v>
      </c>
      <c r="C66" s="1082">
        <f>'2-1-13 SIS'!I66</f>
        <v>0</v>
      </c>
      <c r="D66" s="967">
        <f>'Table 3 Levels 1&amp;2'!AL67</f>
        <v>4940.9166775610411</v>
      </c>
      <c r="E66" s="1014">
        <f t="shared" si="20"/>
        <v>0</v>
      </c>
      <c r="F66" s="1014">
        <f>'Table 4 Level 3'!P65</f>
        <v>594.04</v>
      </c>
      <c r="G66" s="1014">
        <f t="shared" si="21"/>
        <v>0</v>
      </c>
      <c r="H66" s="990">
        <f t="shared" si="22"/>
        <v>0</v>
      </c>
      <c r="I66" s="1024">
        <f t="shared" si="23"/>
        <v>0</v>
      </c>
      <c r="J66" s="990">
        <f t="shared" si="24"/>
        <v>0</v>
      </c>
      <c r="K66" s="990">
        <v>0</v>
      </c>
      <c r="L66" s="990">
        <f t="shared" si="25"/>
        <v>0</v>
      </c>
      <c r="M66" s="990">
        <f t="shared" si="26"/>
        <v>0</v>
      </c>
      <c r="N66" s="986">
        <f>'[11]FY2013-14 Initial'!K67</f>
        <v>3793</v>
      </c>
      <c r="O66" s="987">
        <f t="shared" si="31"/>
        <v>0</v>
      </c>
      <c r="P66" s="1030">
        <f t="shared" si="27"/>
        <v>0</v>
      </c>
      <c r="Q66" s="987">
        <f t="shared" si="28"/>
        <v>0</v>
      </c>
      <c r="R66" s="987">
        <v>0</v>
      </c>
      <c r="S66" s="987">
        <f t="shared" si="29"/>
        <v>0</v>
      </c>
      <c r="T66" s="987">
        <f t="shared" si="30"/>
        <v>0</v>
      </c>
      <c r="U66" s="988">
        <f t="shared" si="32"/>
        <v>0</v>
      </c>
      <c r="V66" s="988">
        <f t="shared" si="33"/>
        <v>0</v>
      </c>
    </row>
    <row r="67" spans="1:22">
      <c r="A67" s="953">
        <v>61</v>
      </c>
      <c r="B67" s="954" t="s">
        <v>152</v>
      </c>
      <c r="C67" s="1083">
        <f>'2-1-13 SIS'!I67</f>
        <v>1</v>
      </c>
      <c r="D67" s="968">
        <f>'Table 3 Levels 1&amp;2'!AL68</f>
        <v>2908.0344869339228</v>
      </c>
      <c r="E67" s="1015">
        <f t="shared" si="20"/>
        <v>2908.0344869339228</v>
      </c>
      <c r="F67" s="1015">
        <f>'Table 4 Level 3'!P66</f>
        <v>833.70999999999992</v>
      </c>
      <c r="G67" s="1015">
        <f t="shared" si="21"/>
        <v>833.70999999999992</v>
      </c>
      <c r="H67" s="991">
        <f t="shared" si="22"/>
        <v>3741.7444869339229</v>
      </c>
      <c r="I67" s="1025">
        <f t="shared" si="23"/>
        <v>-9.354361217334807</v>
      </c>
      <c r="J67" s="991">
        <f t="shared" si="24"/>
        <v>3732.390125716588</v>
      </c>
      <c r="K67" s="991">
        <v>0</v>
      </c>
      <c r="L67" s="991">
        <f t="shared" si="25"/>
        <v>3732.390125716588</v>
      </c>
      <c r="M67" s="991">
        <f t="shared" si="26"/>
        <v>311.03251047638236</v>
      </c>
      <c r="N67" s="981">
        <f>'[11]FY2013-14 Initial'!K68</f>
        <v>6570</v>
      </c>
      <c r="O67" s="958">
        <f t="shared" si="31"/>
        <v>6570</v>
      </c>
      <c r="P67" s="1028">
        <f t="shared" si="27"/>
        <v>-16.425000000000001</v>
      </c>
      <c r="Q67" s="958">
        <f t="shared" si="28"/>
        <v>6553.5749999999998</v>
      </c>
      <c r="R67" s="958">
        <v>0</v>
      </c>
      <c r="S67" s="958">
        <f t="shared" si="29"/>
        <v>6553.5749999999998</v>
      </c>
      <c r="T67" s="958">
        <f t="shared" si="30"/>
        <v>546.13125000000002</v>
      </c>
      <c r="U67" s="959">
        <f t="shared" si="32"/>
        <v>10285.965125716588</v>
      </c>
      <c r="V67" s="959">
        <f t="shared" si="33"/>
        <v>857.16376047638232</v>
      </c>
    </row>
    <row r="68" spans="1:22">
      <c r="A68" s="960">
        <v>62</v>
      </c>
      <c r="B68" s="961" t="s">
        <v>153</v>
      </c>
      <c r="C68" s="1081">
        <f>'2-1-13 SIS'!I68</f>
        <v>0</v>
      </c>
      <c r="D68" s="966">
        <f>'Table 3 Levels 1&amp;2'!AL69</f>
        <v>5652.1730736722093</v>
      </c>
      <c r="E68" s="1013">
        <f t="shared" si="20"/>
        <v>0</v>
      </c>
      <c r="F68" s="1013">
        <f>'Table 4 Level 3'!P67</f>
        <v>516.08000000000004</v>
      </c>
      <c r="G68" s="1013">
        <f t="shared" si="21"/>
        <v>0</v>
      </c>
      <c r="H68" s="989">
        <f t="shared" si="22"/>
        <v>0</v>
      </c>
      <c r="I68" s="1023">
        <f t="shared" si="23"/>
        <v>0</v>
      </c>
      <c r="J68" s="989">
        <f t="shared" si="24"/>
        <v>0</v>
      </c>
      <c r="K68" s="989">
        <v>0</v>
      </c>
      <c r="L68" s="989">
        <f t="shared" si="25"/>
        <v>0</v>
      </c>
      <c r="M68" s="989">
        <f t="shared" si="26"/>
        <v>0</v>
      </c>
      <c r="N68" s="981">
        <f>'[11]FY2013-14 Initial'!K69</f>
        <v>1934</v>
      </c>
      <c r="O68" s="983">
        <f t="shared" si="31"/>
        <v>0</v>
      </c>
      <c r="P68" s="1029">
        <f t="shared" si="27"/>
        <v>0</v>
      </c>
      <c r="Q68" s="983">
        <f t="shared" si="28"/>
        <v>0</v>
      </c>
      <c r="R68" s="983">
        <v>0</v>
      </c>
      <c r="S68" s="983">
        <f t="shared" si="29"/>
        <v>0</v>
      </c>
      <c r="T68" s="983">
        <f t="shared" si="30"/>
        <v>0</v>
      </c>
      <c r="U68" s="984">
        <f t="shared" si="32"/>
        <v>0</v>
      </c>
      <c r="V68" s="984">
        <f t="shared" si="33"/>
        <v>0</v>
      </c>
    </row>
    <row r="69" spans="1:22">
      <c r="A69" s="960">
        <v>63</v>
      </c>
      <c r="B69" s="961" t="s">
        <v>154</v>
      </c>
      <c r="C69" s="1081">
        <f>'2-1-13 SIS'!I69</f>
        <v>0</v>
      </c>
      <c r="D69" s="966">
        <f>'Table 3 Levels 1&amp;2'!AL70</f>
        <v>4362.300753810403</v>
      </c>
      <c r="E69" s="1013">
        <f t="shared" si="20"/>
        <v>0</v>
      </c>
      <c r="F69" s="1013">
        <f>'Table 4 Level 3'!P68</f>
        <v>756.79</v>
      </c>
      <c r="G69" s="1013">
        <f t="shared" si="21"/>
        <v>0</v>
      </c>
      <c r="H69" s="989">
        <f t="shared" si="22"/>
        <v>0</v>
      </c>
      <c r="I69" s="1023">
        <f t="shared" si="23"/>
        <v>0</v>
      </c>
      <c r="J69" s="989">
        <f t="shared" si="24"/>
        <v>0</v>
      </c>
      <c r="K69" s="989">
        <v>0</v>
      </c>
      <c r="L69" s="989">
        <f t="shared" si="25"/>
        <v>0</v>
      </c>
      <c r="M69" s="989">
        <f t="shared" si="26"/>
        <v>0</v>
      </c>
      <c r="N69" s="981">
        <f>'[11]FY2013-14 Initial'!K70</f>
        <v>6787</v>
      </c>
      <c r="O69" s="983">
        <f t="shared" si="31"/>
        <v>0</v>
      </c>
      <c r="P69" s="1029">
        <f t="shared" si="27"/>
        <v>0</v>
      </c>
      <c r="Q69" s="983">
        <f t="shared" si="28"/>
        <v>0</v>
      </c>
      <c r="R69" s="983">
        <v>0</v>
      </c>
      <c r="S69" s="983">
        <f t="shared" si="29"/>
        <v>0</v>
      </c>
      <c r="T69" s="983">
        <f t="shared" si="30"/>
        <v>0</v>
      </c>
      <c r="U69" s="984">
        <f t="shared" si="32"/>
        <v>0</v>
      </c>
      <c r="V69" s="984">
        <f t="shared" si="33"/>
        <v>0</v>
      </c>
    </row>
    <row r="70" spans="1:22">
      <c r="A70" s="960">
        <v>64</v>
      </c>
      <c r="B70" s="961" t="s">
        <v>155</v>
      </c>
      <c r="C70" s="1081">
        <f>'2-1-13 SIS'!I70</f>
        <v>0</v>
      </c>
      <c r="D70" s="966">
        <f>'Table 3 Levels 1&amp;2'!AL71</f>
        <v>5960.2049072003338</v>
      </c>
      <c r="E70" s="1013">
        <f t="shared" si="20"/>
        <v>0</v>
      </c>
      <c r="F70" s="1013">
        <f>'Table 4 Level 3'!P69</f>
        <v>592.66</v>
      </c>
      <c r="G70" s="1013">
        <f t="shared" si="21"/>
        <v>0</v>
      </c>
      <c r="H70" s="989">
        <f t="shared" si="22"/>
        <v>0</v>
      </c>
      <c r="I70" s="1023">
        <f t="shared" si="23"/>
        <v>0</v>
      </c>
      <c r="J70" s="989">
        <f t="shared" si="24"/>
        <v>0</v>
      </c>
      <c r="K70" s="989">
        <v>0</v>
      </c>
      <c r="L70" s="989">
        <f t="shared" si="25"/>
        <v>0</v>
      </c>
      <c r="M70" s="989">
        <f t="shared" si="26"/>
        <v>0</v>
      </c>
      <c r="N70" s="981">
        <f>'[11]FY2013-14 Initial'!K71</f>
        <v>2901</v>
      </c>
      <c r="O70" s="983">
        <f t="shared" si="31"/>
        <v>0</v>
      </c>
      <c r="P70" s="1029">
        <f t="shared" si="27"/>
        <v>0</v>
      </c>
      <c r="Q70" s="983">
        <f t="shared" si="28"/>
        <v>0</v>
      </c>
      <c r="R70" s="983">
        <v>0</v>
      </c>
      <c r="S70" s="983">
        <f t="shared" si="29"/>
        <v>0</v>
      </c>
      <c r="T70" s="983">
        <f t="shared" si="30"/>
        <v>0</v>
      </c>
      <c r="U70" s="984">
        <f t="shared" si="32"/>
        <v>0</v>
      </c>
      <c r="V70" s="984">
        <f t="shared" si="33"/>
        <v>0</v>
      </c>
    </row>
    <row r="71" spans="1:22">
      <c r="A71" s="963">
        <v>65</v>
      </c>
      <c r="B71" s="964" t="s">
        <v>156</v>
      </c>
      <c r="C71" s="1082">
        <f>'2-1-13 SIS'!I71</f>
        <v>0</v>
      </c>
      <c r="D71" s="967">
        <f>'Table 3 Levels 1&amp;2'!AL72</f>
        <v>4579.2772303106676</v>
      </c>
      <c r="E71" s="1014">
        <f t="shared" si="20"/>
        <v>0</v>
      </c>
      <c r="F71" s="1014">
        <f>'Table 4 Level 3'!P70</f>
        <v>829.12</v>
      </c>
      <c r="G71" s="1014">
        <f t="shared" si="21"/>
        <v>0</v>
      </c>
      <c r="H71" s="990">
        <f t="shared" si="22"/>
        <v>0</v>
      </c>
      <c r="I71" s="1024">
        <f t="shared" si="23"/>
        <v>0</v>
      </c>
      <c r="J71" s="990">
        <f t="shared" si="24"/>
        <v>0</v>
      </c>
      <c r="K71" s="990">
        <v>0</v>
      </c>
      <c r="L71" s="990">
        <f t="shared" si="25"/>
        <v>0</v>
      </c>
      <c r="M71" s="990">
        <f t="shared" si="26"/>
        <v>0</v>
      </c>
      <c r="N71" s="986">
        <f>'[11]FY2013-14 Initial'!K72</f>
        <v>5001</v>
      </c>
      <c r="O71" s="987">
        <f t="shared" ref="O71:O102" si="34">C71*N71</f>
        <v>0</v>
      </c>
      <c r="P71" s="1030">
        <f t="shared" si="27"/>
        <v>0</v>
      </c>
      <c r="Q71" s="987">
        <f t="shared" si="28"/>
        <v>0</v>
      </c>
      <c r="R71" s="987">
        <v>0</v>
      </c>
      <c r="S71" s="987">
        <f t="shared" si="29"/>
        <v>0</v>
      </c>
      <c r="T71" s="987">
        <f t="shared" si="30"/>
        <v>0</v>
      </c>
      <c r="U71" s="988">
        <f t="shared" si="32"/>
        <v>0</v>
      </c>
      <c r="V71" s="988">
        <f t="shared" si="33"/>
        <v>0</v>
      </c>
    </row>
    <row r="72" spans="1:22">
      <c r="A72" s="953">
        <v>66</v>
      </c>
      <c r="B72" s="954" t="s">
        <v>157</v>
      </c>
      <c r="C72" s="1083">
        <f>'2-1-13 SIS'!I72</f>
        <v>0</v>
      </c>
      <c r="D72" s="968">
        <f>'Table 3 Levels 1&amp;2'!AL73</f>
        <v>6370.8108195713585</v>
      </c>
      <c r="E72" s="1015">
        <f t="shared" ref="E72:E75" si="35">C72*D72</f>
        <v>0</v>
      </c>
      <c r="F72" s="1015">
        <f>'Table 4 Level 3'!P71</f>
        <v>730.06</v>
      </c>
      <c r="G72" s="1015">
        <f t="shared" ref="G72:G75" si="36">C72*F72</f>
        <v>0</v>
      </c>
      <c r="H72" s="991">
        <f t="shared" ref="H72:H75" si="37">E72+G72</f>
        <v>0</v>
      </c>
      <c r="I72" s="1025">
        <f t="shared" ref="I72:I75" si="38">-(0.25%*H72)</f>
        <v>0</v>
      </c>
      <c r="J72" s="991">
        <f t="shared" ref="J72:J75" si="39">SUM(H72:I72)</f>
        <v>0</v>
      </c>
      <c r="K72" s="991">
        <v>0</v>
      </c>
      <c r="L72" s="991">
        <f t="shared" ref="L72:L75" si="40">SUM(J72:K72)</f>
        <v>0</v>
      </c>
      <c r="M72" s="991">
        <f t="shared" ref="M72:M75" si="41">L72/12</f>
        <v>0</v>
      </c>
      <c r="N72" s="981">
        <f>'[11]FY2013-14 Initial'!K73</f>
        <v>3415</v>
      </c>
      <c r="O72" s="958">
        <f t="shared" si="34"/>
        <v>0</v>
      </c>
      <c r="P72" s="1028">
        <f t="shared" ref="P72:P75" si="42">-(0.25%*O72)</f>
        <v>0</v>
      </c>
      <c r="Q72" s="958">
        <f t="shared" ref="Q72:Q75" si="43">SUM(O72:P72)</f>
        <v>0</v>
      </c>
      <c r="R72" s="958">
        <v>0</v>
      </c>
      <c r="S72" s="958">
        <f t="shared" ref="S72:S75" si="44">SUM(Q72:R72)</f>
        <v>0</v>
      </c>
      <c r="T72" s="958">
        <f t="shared" ref="T72:T75" si="45">S72/12</f>
        <v>0</v>
      </c>
      <c r="U72" s="959">
        <f t="shared" si="32"/>
        <v>0</v>
      </c>
      <c r="V72" s="959">
        <f t="shared" si="33"/>
        <v>0</v>
      </c>
    </row>
    <row r="73" spans="1:22">
      <c r="A73" s="960">
        <v>67</v>
      </c>
      <c r="B73" s="961" t="s">
        <v>32</v>
      </c>
      <c r="C73" s="1081">
        <f>'2-1-13 SIS'!I73</f>
        <v>2</v>
      </c>
      <c r="D73" s="966">
        <f>'Table 3 Levels 1&amp;2'!AL74</f>
        <v>4951.6009932106244</v>
      </c>
      <c r="E73" s="1013">
        <f t="shared" si="35"/>
        <v>9903.2019864212489</v>
      </c>
      <c r="F73" s="1013">
        <f>'Table 4 Level 3'!P72</f>
        <v>715.61</v>
      </c>
      <c r="G73" s="1013">
        <f t="shared" si="36"/>
        <v>1431.22</v>
      </c>
      <c r="H73" s="989">
        <f t="shared" si="37"/>
        <v>11334.421986421248</v>
      </c>
      <c r="I73" s="1023">
        <f t="shared" si="38"/>
        <v>-28.336054966053123</v>
      </c>
      <c r="J73" s="989">
        <f t="shared" si="39"/>
        <v>11306.085931455194</v>
      </c>
      <c r="K73" s="989">
        <v>0</v>
      </c>
      <c r="L73" s="989">
        <f t="shared" si="40"/>
        <v>11306.085931455194</v>
      </c>
      <c r="M73" s="989">
        <f t="shared" si="41"/>
        <v>942.17382762126624</v>
      </c>
      <c r="N73" s="981">
        <f>'[11]FY2013-14 Initial'!K74</f>
        <v>5221</v>
      </c>
      <c r="O73" s="983">
        <f t="shared" si="34"/>
        <v>10442</v>
      </c>
      <c r="P73" s="1029">
        <f t="shared" si="42"/>
        <v>-26.105</v>
      </c>
      <c r="Q73" s="983">
        <f t="shared" si="43"/>
        <v>10415.895</v>
      </c>
      <c r="R73" s="983">
        <v>0</v>
      </c>
      <c r="S73" s="983">
        <f t="shared" si="44"/>
        <v>10415.895</v>
      </c>
      <c r="T73" s="983">
        <f t="shared" si="45"/>
        <v>867.99125000000004</v>
      </c>
      <c r="U73" s="984">
        <f t="shared" si="32"/>
        <v>21721.980931455197</v>
      </c>
      <c r="V73" s="984">
        <f t="shared" si="33"/>
        <v>1810.1650776212664</v>
      </c>
    </row>
    <row r="74" spans="1:22">
      <c r="A74" s="960">
        <v>68</v>
      </c>
      <c r="B74" s="961" t="s">
        <v>30</v>
      </c>
      <c r="C74" s="1081">
        <f>'2-1-13 SIS'!I74</f>
        <v>4</v>
      </c>
      <c r="D74" s="966">
        <f>'Table 3 Levels 1&amp;2'!AL75</f>
        <v>6077.2398733698947</v>
      </c>
      <c r="E74" s="1013">
        <f t="shared" si="35"/>
        <v>24308.959493479579</v>
      </c>
      <c r="F74" s="1013">
        <f>'Table 4 Level 3'!P73</f>
        <v>798.7</v>
      </c>
      <c r="G74" s="1013">
        <f t="shared" si="36"/>
        <v>3194.8</v>
      </c>
      <c r="H74" s="989">
        <f t="shared" si="37"/>
        <v>27503.759493479578</v>
      </c>
      <c r="I74" s="1023">
        <f t="shared" si="38"/>
        <v>-68.759398733698944</v>
      </c>
      <c r="J74" s="989">
        <f t="shared" si="39"/>
        <v>27435.000094745879</v>
      </c>
      <c r="K74" s="989">
        <v>0</v>
      </c>
      <c r="L74" s="989">
        <f t="shared" si="40"/>
        <v>27435.000094745879</v>
      </c>
      <c r="M74" s="989">
        <f t="shared" si="41"/>
        <v>2286.2500078954899</v>
      </c>
      <c r="N74" s="981">
        <f>'[11]FY2013-14 Initial'!K75</f>
        <v>2680</v>
      </c>
      <c r="O74" s="983">
        <f t="shared" si="34"/>
        <v>10720</v>
      </c>
      <c r="P74" s="1029">
        <f t="shared" si="42"/>
        <v>-26.8</v>
      </c>
      <c r="Q74" s="983">
        <f t="shared" si="43"/>
        <v>10693.2</v>
      </c>
      <c r="R74" s="983">
        <v>0</v>
      </c>
      <c r="S74" s="983">
        <f t="shared" si="44"/>
        <v>10693.2</v>
      </c>
      <c r="T74" s="983">
        <f t="shared" si="45"/>
        <v>891.1</v>
      </c>
      <c r="U74" s="984">
        <f t="shared" si="32"/>
        <v>38128.20009474588</v>
      </c>
      <c r="V74" s="984">
        <f t="shared" si="33"/>
        <v>3177.3500078954899</v>
      </c>
    </row>
    <row r="75" spans="1:22">
      <c r="A75" s="969">
        <v>69</v>
      </c>
      <c r="B75" s="970" t="s">
        <v>208</v>
      </c>
      <c r="C75" s="1084">
        <f>'2-1-13 SIS'!I75</f>
        <v>0</v>
      </c>
      <c r="D75" s="971">
        <f>'Table 3 Levels 1&amp;2'!AL76</f>
        <v>5585.8253106686579</v>
      </c>
      <c r="E75" s="1016">
        <f t="shared" si="35"/>
        <v>0</v>
      </c>
      <c r="F75" s="1016">
        <f>'Table 4 Level 3'!P74</f>
        <v>705.67</v>
      </c>
      <c r="G75" s="1016">
        <f t="shared" si="36"/>
        <v>0</v>
      </c>
      <c r="H75" s="992">
        <f t="shared" si="37"/>
        <v>0</v>
      </c>
      <c r="I75" s="1026">
        <f t="shared" si="38"/>
        <v>0</v>
      </c>
      <c r="J75" s="992">
        <f t="shared" si="39"/>
        <v>0</v>
      </c>
      <c r="K75" s="992">
        <v>0</v>
      </c>
      <c r="L75" s="992">
        <f t="shared" si="40"/>
        <v>0</v>
      </c>
      <c r="M75" s="992">
        <f t="shared" si="41"/>
        <v>0</v>
      </c>
      <c r="N75" s="981">
        <f>'[11]FY2013-14 Initial'!K76</f>
        <v>3263</v>
      </c>
      <c r="O75" s="993">
        <f t="shared" si="34"/>
        <v>0</v>
      </c>
      <c r="P75" s="1031">
        <f t="shared" si="42"/>
        <v>0</v>
      </c>
      <c r="Q75" s="993">
        <f t="shared" si="43"/>
        <v>0</v>
      </c>
      <c r="R75" s="993">
        <v>0</v>
      </c>
      <c r="S75" s="993">
        <f t="shared" si="44"/>
        <v>0</v>
      </c>
      <c r="T75" s="993">
        <f t="shared" si="45"/>
        <v>0</v>
      </c>
      <c r="U75" s="994">
        <f t="shared" si="32"/>
        <v>0</v>
      </c>
      <c r="V75" s="994">
        <f t="shared" si="33"/>
        <v>0</v>
      </c>
    </row>
    <row r="76" spans="1:22" ht="13.5" thickBot="1">
      <c r="A76" s="972"/>
      <c r="B76" s="973" t="s">
        <v>158</v>
      </c>
      <c r="C76" s="974">
        <f>SUM(C7:C75)</f>
        <v>213</v>
      </c>
      <c r="D76" s="975"/>
      <c r="E76" s="1017">
        <f>SUM(E7:E75)</f>
        <v>719611.92201500153</v>
      </c>
      <c r="F76" s="1017">
        <f>'Table 4 Level 3'!P75</f>
        <v>704.49059912051428</v>
      </c>
      <c r="G76" s="1017">
        <f t="shared" ref="G76:L76" si="46">SUM(G7:G75)</f>
        <v>170564.12057862198</v>
      </c>
      <c r="H76" s="976">
        <f t="shared" si="46"/>
        <v>890176.04259362351</v>
      </c>
      <c r="I76" s="1027">
        <f t="shared" si="46"/>
        <v>-2225.440106484059</v>
      </c>
      <c r="J76" s="976">
        <f t="shared" si="46"/>
        <v>887950.60248713952</v>
      </c>
      <c r="K76" s="976">
        <f t="shared" si="46"/>
        <v>0</v>
      </c>
      <c r="L76" s="976">
        <f t="shared" si="46"/>
        <v>887950.60248713952</v>
      </c>
      <c r="M76" s="976">
        <f>SUM(M7:M75)</f>
        <v>73995.88354059495</v>
      </c>
      <c r="N76" s="995">
        <f>'[11]FY2013-14 Initial'!K77</f>
        <v>4503</v>
      </c>
      <c r="O76" s="977">
        <f t="shared" ref="O76:V76" si="47">SUM(O7:O75)</f>
        <v>1421116</v>
      </c>
      <c r="P76" s="1032">
        <f t="shared" si="47"/>
        <v>-3552.7900000000004</v>
      </c>
      <c r="Q76" s="977">
        <f t="shared" si="47"/>
        <v>1417563.21</v>
      </c>
      <c r="R76" s="977">
        <f t="shared" si="47"/>
        <v>0</v>
      </c>
      <c r="S76" s="977">
        <f t="shared" si="47"/>
        <v>1417563.21</v>
      </c>
      <c r="T76" s="977">
        <f t="shared" si="47"/>
        <v>118130.26750000002</v>
      </c>
      <c r="U76" s="978">
        <f t="shared" si="47"/>
        <v>2305513.8124871398</v>
      </c>
      <c r="V76" s="978">
        <f t="shared" si="47"/>
        <v>192126.15104059497</v>
      </c>
    </row>
    <row r="77" spans="1:22" ht="13.5" thickTop="1"/>
  </sheetData>
  <mergeCells count="19">
    <mergeCell ref="A2:B4"/>
    <mergeCell ref="C3:C4"/>
    <mergeCell ref="D3:D4"/>
    <mergeCell ref="E3:E4"/>
    <mergeCell ref="H3:H4"/>
    <mergeCell ref="F3:F4"/>
    <mergeCell ref="C2:M2"/>
    <mergeCell ref="N2:T2"/>
    <mergeCell ref="U2:U4"/>
    <mergeCell ref="V2:V4"/>
    <mergeCell ref="G3:G4"/>
    <mergeCell ref="J3:J4"/>
    <mergeCell ref="K3:K4"/>
    <mergeCell ref="L3:L4"/>
    <mergeCell ref="M3:M4"/>
    <mergeCell ref="R3:R4"/>
    <mergeCell ref="S3:S4"/>
    <mergeCell ref="N3:N4"/>
    <mergeCell ref="Q3:Q4"/>
  </mergeCells>
  <pageMargins left="0.32" right="0.32" top="0.75" bottom="0.75" header="0.3" footer="0.3"/>
  <pageSetup paperSize="5" scale="52" firstPageNumber="50" orientation="portrait" useFirstPageNumber="1" r:id="rId1"/>
  <headerFooter>
    <oddHeader xml:space="preserve">&amp;L&amp;"Arial,Bold"&amp;20Table 5C1-A: FY2013-14 MFP Budget Letter 
Madison Prep Academy </oddHeader>
    <oddFooter>&amp;R&amp;P</oddFooter>
  </headerFooter>
  <colBreaks count="1" manualBreakCount="1">
    <brk id="1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"/>
  <sheetViews>
    <sheetView view="pageBreakPreview" zoomScale="90" zoomScaleNormal="100" zoomScaleSheetLayoutView="90" workbookViewId="0">
      <pane xSplit="2" ySplit="6" topLeftCell="K65" activePane="bottomRight" state="frozen"/>
      <selection activeCell="A2" sqref="A2:B4"/>
      <selection pane="topRight" activeCell="A2" sqref="A2:B4"/>
      <selection pane="bottomLeft" activeCell="A2" sqref="A2:B4"/>
      <selection pane="bottomRight" activeCell="N78" sqref="N78"/>
    </sheetView>
  </sheetViews>
  <sheetFormatPr defaultRowHeight="12.75"/>
  <cols>
    <col min="1" max="1" width="4.28515625" customWidth="1"/>
    <col min="2" max="2" width="17.85546875" bestFit="1" customWidth="1"/>
    <col min="3" max="3" width="12.5703125" customWidth="1"/>
    <col min="4" max="4" width="17" customWidth="1"/>
    <col min="5" max="5" width="11" bestFit="1" customWidth="1"/>
    <col min="6" max="6" width="12" customWidth="1"/>
    <col min="7" max="7" width="12.5703125" bestFit="1" customWidth="1"/>
    <col min="8" max="8" width="11.85546875" bestFit="1" customWidth="1"/>
    <col min="9" max="9" width="10.85546875" bestFit="1" customWidth="1"/>
    <col min="10" max="10" width="12" bestFit="1" customWidth="1"/>
    <col min="11" max="11" width="13.42578125" bestFit="1" customWidth="1"/>
    <col min="12" max="12" width="13.5703125" bestFit="1" customWidth="1"/>
    <col min="13" max="13" width="9.28515625" bestFit="1" customWidth="1"/>
    <col min="14" max="14" width="17.28515625" customWidth="1"/>
    <col min="15" max="15" width="16.7109375" customWidth="1"/>
    <col min="16" max="16" width="13.7109375" customWidth="1"/>
    <col min="17" max="17" width="17" customWidth="1"/>
    <col min="18" max="18" width="15.28515625" customWidth="1"/>
    <col min="19" max="19" width="13.140625" customWidth="1"/>
    <col min="20" max="20" width="12" customWidth="1"/>
    <col min="21" max="21" width="11" customWidth="1"/>
    <col min="22" max="22" width="12.140625" customWidth="1"/>
  </cols>
  <sheetData>
    <row r="1" spans="1:22"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:22" ht="45" customHeight="1">
      <c r="A2" s="1711" t="s">
        <v>511</v>
      </c>
      <c r="B2" s="1712"/>
      <c r="C2" s="1718" t="s">
        <v>500</v>
      </c>
      <c r="D2" s="1719"/>
      <c r="E2" s="1719"/>
      <c r="F2" s="1719"/>
      <c r="G2" s="1719"/>
      <c r="H2" s="1719"/>
      <c r="I2" s="1719"/>
      <c r="J2" s="1719"/>
      <c r="K2" s="1719"/>
      <c r="L2" s="1719"/>
      <c r="M2" s="1720"/>
      <c r="N2" s="1700" t="s">
        <v>656</v>
      </c>
      <c r="O2" s="1701"/>
      <c r="P2" s="1701"/>
      <c r="Q2" s="1701"/>
      <c r="R2" s="1701"/>
      <c r="S2" s="1701"/>
      <c r="T2" s="1702"/>
      <c r="U2" s="1703" t="s">
        <v>683</v>
      </c>
      <c r="V2" s="1703" t="s">
        <v>654</v>
      </c>
    </row>
    <row r="3" spans="1:22" ht="115.5" customHeight="1">
      <c r="A3" s="1713"/>
      <c r="B3" s="1714"/>
      <c r="C3" s="1706" t="s">
        <v>588</v>
      </c>
      <c r="D3" s="1717" t="s">
        <v>744</v>
      </c>
      <c r="E3" s="1717" t="s">
        <v>674</v>
      </c>
      <c r="F3" s="1706" t="s">
        <v>501</v>
      </c>
      <c r="G3" s="1706" t="s">
        <v>445</v>
      </c>
      <c r="H3" s="1706" t="s">
        <v>675</v>
      </c>
      <c r="I3" s="1104" t="s">
        <v>456</v>
      </c>
      <c r="J3" s="1706" t="s">
        <v>676</v>
      </c>
      <c r="K3" s="1706" t="s">
        <v>967</v>
      </c>
      <c r="L3" s="1706" t="s">
        <v>677</v>
      </c>
      <c r="M3" s="1717" t="s">
        <v>655</v>
      </c>
      <c r="N3" s="1709" t="s">
        <v>527</v>
      </c>
      <c r="O3" s="1278" t="s">
        <v>684</v>
      </c>
      <c r="P3" s="1106" t="s">
        <v>457</v>
      </c>
      <c r="Q3" s="1709" t="s">
        <v>679</v>
      </c>
      <c r="R3" s="1709" t="s">
        <v>967</v>
      </c>
      <c r="S3" s="1709" t="s">
        <v>680</v>
      </c>
      <c r="T3" s="1278" t="s">
        <v>681</v>
      </c>
      <c r="U3" s="1704"/>
      <c r="V3" s="1704"/>
    </row>
    <row r="4" spans="1:22" ht="22.5" customHeight="1">
      <c r="A4" s="1715"/>
      <c r="B4" s="1716"/>
      <c r="C4" s="1707"/>
      <c r="D4" s="1717"/>
      <c r="E4" s="1717"/>
      <c r="F4" s="1707"/>
      <c r="G4" s="1707"/>
      <c r="H4" s="1707"/>
      <c r="I4" s="1018">
        <v>2.5000000000000001E-3</v>
      </c>
      <c r="J4" s="1707"/>
      <c r="K4" s="1707"/>
      <c r="L4" s="1707"/>
      <c r="M4" s="1717"/>
      <c r="N4" s="1710"/>
      <c r="O4" s="1105"/>
      <c r="P4" s="1019">
        <v>2.5000000000000001E-3</v>
      </c>
      <c r="Q4" s="1710"/>
      <c r="R4" s="1710"/>
      <c r="S4" s="1710"/>
      <c r="T4" s="1105"/>
      <c r="U4" s="1705"/>
      <c r="V4" s="1705"/>
    </row>
    <row r="5" spans="1:22" ht="14.25" customHeight="1">
      <c r="A5" s="950"/>
      <c r="B5" s="951"/>
      <c r="C5" s="952">
        <v>1</v>
      </c>
      <c r="D5" s="952">
        <f t="shared" ref="D5" si="0">C5+1</f>
        <v>2</v>
      </c>
      <c r="E5" s="952">
        <f>D5+1</f>
        <v>3</v>
      </c>
      <c r="F5" s="952">
        <f t="shared" ref="F5:V5" si="1">E5+1</f>
        <v>4</v>
      </c>
      <c r="G5" s="952">
        <f t="shared" si="1"/>
        <v>5</v>
      </c>
      <c r="H5" s="952">
        <f t="shared" si="1"/>
        <v>6</v>
      </c>
      <c r="I5" s="952">
        <f t="shared" si="1"/>
        <v>7</v>
      </c>
      <c r="J5" s="952">
        <f t="shared" si="1"/>
        <v>8</v>
      </c>
      <c r="K5" s="952">
        <f t="shared" si="1"/>
        <v>9</v>
      </c>
      <c r="L5" s="952">
        <f t="shared" si="1"/>
        <v>10</v>
      </c>
      <c r="M5" s="952">
        <f t="shared" si="1"/>
        <v>11</v>
      </c>
      <c r="N5" s="952">
        <f t="shared" si="1"/>
        <v>12</v>
      </c>
      <c r="O5" s="952">
        <f t="shared" si="1"/>
        <v>13</v>
      </c>
      <c r="P5" s="952">
        <f t="shared" si="1"/>
        <v>14</v>
      </c>
      <c r="Q5" s="952">
        <f t="shared" si="1"/>
        <v>15</v>
      </c>
      <c r="R5" s="952">
        <f t="shared" si="1"/>
        <v>16</v>
      </c>
      <c r="S5" s="952">
        <f t="shared" si="1"/>
        <v>17</v>
      </c>
      <c r="T5" s="952">
        <f t="shared" si="1"/>
        <v>18</v>
      </c>
      <c r="U5" s="952">
        <f t="shared" si="1"/>
        <v>19</v>
      </c>
      <c r="V5" s="952">
        <f t="shared" si="1"/>
        <v>20</v>
      </c>
    </row>
    <row r="6" spans="1:22" ht="27" customHeight="1">
      <c r="A6" s="979"/>
      <c r="B6" s="980"/>
      <c r="C6" s="980"/>
      <c r="D6" s="980"/>
      <c r="E6" s="980"/>
      <c r="F6" s="980"/>
      <c r="G6" s="980"/>
      <c r="H6" s="980"/>
      <c r="I6" s="980"/>
      <c r="J6" s="980"/>
      <c r="K6" s="980"/>
      <c r="L6" s="980"/>
      <c r="M6" s="980"/>
      <c r="N6" s="980"/>
      <c r="O6" s="980"/>
      <c r="P6" s="980"/>
      <c r="Q6" s="980"/>
      <c r="R6" s="980"/>
      <c r="S6" s="980"/>
      <c r="T6" s="980"/>
      <c r="U6" s="980"/>
      <c r="V6" s="980"/>
    </row>
    <row r="7" spans="1:22">
      <c r="A7" s="953">
        <v>1</v>
      </c>
      <c r="B7" s="954" t="s">
        <v>93</v>
      </c>
      <c r="C7" s="955">
        <f>'2-1-13 SIS'!H7</f>
        <v>0</v>
      </c>
      <c r="D7" s="956">
        <f>'Table 3 Levels 1&amp;2'!AL8</f>
        <v>4597.5882673899441</v>
      </c>
      <c r="E7" s="1010">
        <f>C7*D7</f>
        <v>0</v>
      </c>
      <c r="F7" s="1010">
        <f>'Table 4 Level 3'!P6</f>
        <v>777.48</v>
      </c>
      <c r="G7" s="1010">
        <f>C7*F7</f>
        <v>0</v>
      </c>
      <c r="H7" s="957">
        <f>E7+G7</f>
        <v>0</v>
      </c>
      <c r="I7" s="1020">
        <f>-(0.25%*H7)</f>
        <v>0</v>
      </c>
      <c r="J7" s="957">
        <f>SUM(H7:I7)</f>
        <v>0</v>
      </c>
      <c r="K7" s="957">
        <v>0</v>
      </c>
      <c r="L7" s="957">
        <f>SUM(J7:K7)</f>
        <v>0</v>
      </c>
      <c r="M7" s="957">
        <f>L7/12</f>
        <v>0</v>
      </c>
      <c r="N7" s="981">
        <f>'Table 5C1A-Madison Prep'!N7</f>
        <v>2168</v>
      </c>
      <c r="O7" s="958">
        <f>C7*N7</f>
        <v>0</v>
      </c>
      <c r="P7" s="1028">
        <f>-(0.25%*O7)</f>
        <v>0</v>
      </c>
      <c r="Q7" s="958">
        <f>SUM(O7:P7)</f>
        <v>0</v>
      </c>
      <c r="R7" s="958">
        <v>0</v>
      </c>
      <c r="S7" s="958">
        <f>SUM(Q7:R7)</f>
        <v>0</v>
      </c>
      <c r="T7" s="958">
        <f>S7/12</f>
        <v>0</v>
      </c>
      <c r="U7" s="959">
        <f>L7+S7</f>
        <v>0</v>
      </c>
      <c r="V7" s="959">
        <f>M7+T7</f>
        <v>0</v>
      </c>
    </row>
    <row r="8" spans="1:22">
      <c r="A8" s="960">
        <v>2</v>
      </c>
      <c r="B8" s="961" t="s">
        <v>94</v>
      </c>
      <c r="C8" s="1078">
        <f>'2-1-13 SIS'!H8</f>
        <v>0</v>
      </c>
      <c r="D8" s="962">
        <f>'Table 3 Levels 1&amp;2'!AL9</f>
        <v>6182.4313545138375</v>
      </c>
      <c r="E8" s="1011">
        <f t="shared" ref="E8:E71" si="2">C8*D8</f>
        <v>0</v>
      </c>
      <c r="F8" s="1011">
        <f>'Table 4 Level 3'!P7</f>
        <v>842.32</v>
      </c>
      <c r="G8" s="1011">
        <f t="shared" ref="G8:G71" si="3">C8*F8</f>
        <v>0</v>
      </c>
      <c r="H8" s="982">
        <f t="shared" ref="H8:H71" si="4">E8+G8</f>
        <v>0</v>
      </c>
      <c r="I8" s="1021">
        <f t="shared" ref="I8:I71" si="5">-(0.25%*H8)</f>
        <v>0</v>
      </c>
      <c r="J8" s="982">
        <f t="shared" ref="J8:J71" si="6">SUM(H8:I8)</f>
        <v>0</v>
      </c>
      <c r="K8" s="982">
        <v>0</v>
      </c>
      <c r="L8" s="982">
        <f t="shared" ref="L8:L71" si="7">SUM(J8:K8)</f>
        <v>0</v>
      </c>
      <c r="M8" s="982">
        <f t="shared" ref="M8:M71" si="8">L8/12</f>
        <v>0</v>
      </c>
      <c r="N8" s="981">
        <f>'Table 5C1A-Madison Prep'!N8</f>
        <v>2627</v>
      </c>
      <c r="O8" s="983">
        <f t="shared" ref="O8:O71" si="9">C8*N8</f>
        <v>0</v>
      </c>
      <c r="P8" s="1029">
        <f t="shared" ref="P8:P71" si="10">-(0.25%*O8)</f>
        <v>0</v>
      </c>
      <c r="Q8" s="983">
        <f t="shared" ref="Q8:Q71" si="11">SUM(O8:P8)</f>
        <v>0</v>
      </c>
      <c r="R8" s="983">
        <v>0</v>
      </c>
      <c r="S8" s="983">
        <f t="shared" ref="S8:S71" si="12">SUM(Q8:R8)</f>
        <v>0</v>
      </c>
      <c r="T8" s="983">
        <f t="shared" ref="T8:T71" si="13">S8/12</f>
        <v>0</v>
      </c>
      <c r="U8" s="984">
        <f t="shared" ref="U8:V71" si="14">L8+S8</f>
        <v>0</v>
      </c>
      <c r="V8" s="984">
        <f t="shared" si="14"/>
        <v>0</v>
      </c>
    </row>
    <row r="9" spans="1:22">
      <c r="A9" s="960">
        <v>3</v>
      </c>
      <c r="B9" s="961" t="s">
        <v>95</v>
      </c>
      <c r="C9" s="1078">
        <f>'2-1-13 SIS'!H9</f>
        <v>0</v>
      </c>
      <c r="D9" s="962">
        <f>'Table 3 Levels 1&amp;2'!AL10</f>
        <v>4206.710737685361</v>
      </c>
      <c r="E9" s="1011">
        <f t="shared" si="2"/>
        <v>0</v>
      </c>
      <c r="F9" s="1011">
        <f>'Table 4 Level 3'!P8</f>
        <v>596.84</v>
      </c>
      <c r="G9" s="1011">
        <f t="shared" si="3"/>
        <v>0</v>
      </c>
      <c r="H9" s="982">
        <f t="shared" si="4"/>
        <v>0</v>
      </c>
      <c r="I9" s="1021">
        <f t="shared" si="5"/>
        <v>0</v>
      </c>
      <c r="J9" s="982">
        <f t="shared" si="6"/>
        <v>0</v>
      </c>
      <c r="K9" s="982">
        <v>0</v>
      </c>
      <c r="L9" s="982">
        <f t="shared" si="7"/>
        <v>0</v>
      </c>
      <c r="M9" s="982">
        <f t="shared" si="8"/>
        <v>0</v>
      </c>
      <c r="N9" s="981">
        <f>'Table 5C1A-Madison Prep'!N9</f>
        <v>5431</v>
      </c>
      <c r="O9" s="983">
        <f t="shared" si="9"/>
        <v>0</v>
      </c>
      <c r="P9" s="1029">
        <f t="shared" si="10"/>
        <v>0</v>
      </c>
      <c r="Q9" s="983">
        <f t="shared" si="11"/>
        <v>0</v>
      </c>
      <c r="R9" s="983">
        <v>0</v>
      </c>
      <c r="S9" s="983">
        <f t="shared" si="12"/>
        <v>0</v>
      </c>
      <c r="T9" s="983">
        <f t="shared" si="13"/>
        <v>0</v>
      </c>
      <c r="U9" s="984">
        <f t="shared" si="14"/>
        <v>0</v>
      </c>
      <c r="V9" s="984">
        <f t="shared" si="14"/>
        <v>0</v>
      </c>
    </row>
    <row r="10" spans="1:22">
      <c r="A10" s="960">
        <v>4</v>
      </c>
      <c r="B10" s="961" t="s">
        <v>96</v>
      </c>
      <c r="C10" s="1078">
        <f>'2-1-13 SIS'!H10</f>
        <v>0</v>
      </c>
      <c r="D10" s="962">
        <f>'Table 3 Levels 1&amp;2'!AL11</f>
        <v>5987.4993535453223</v>
      </c>
      <c r="E10" s="1011">
        <f t="shared" si="2"/>
        <v>0</v>
      </c>
      <c r="F10" s="1011">
        <f>'Table 4 Level 3'!P9</f>
        <v>585.76</v>
      </c>
      <c r="G10" s="1011">
        <f t="shared" si="3"/>
        <v>0</v>
      </c>
      <c r="H10" s="982">
        <f t="shared" si="4"/>
        <v>0</v>
      </c>
      <c r="I10" s="1021">
        <f t="shared" si="5"/>
        <v>0</v>
      </c>
      <c r="J10" s="982">
        <f t="shared" si="6"/>
        <v>0</v>
      </c>
      <c r="K10" s="982">
        <v>0</v>
      </c>
      <c r="L10" s="982">
        <f t="shared" si="7"/>
        <v>0</v>
      </c>
      <c r="M10" s="982">
        <f t="shared" si="8"/>
        <v>0</v>
      </c>
      <c r="N10" s="981">
        <f>'Table 5C1A-Madison Prep'!N10</f>
        <v>3029</v>
      </c>
      <c r="O10" s="983">
        <f t="shared" si="9"/>
        <v>0</v>
      </c>
      <c r="P10" s="1029">
        <f t="shared" si="10"/>
        <v>0</v>
      </c>
      <c r="Q10" s="983">
        <f t="shared" si="11"/>
        <v>0</v>
      </c>
      <c r="R10" s="983">
        <v>0</v>
      </c>
      <c r="S10" s="983">
        <f t="shared" si="12"/>
        <v>0</v>
      </c>
      <c r="T10" s="983">
        <f t="shared" si="13"/>
        <v>0</v>
      </c>
      <c r="U10" s="984">
        <f t="shared" si="14"/>
        <v>0</v>
      </c>
      <c r="V10" s="984">
        <f t="shared" si="14"/>
        <v>0</v>
      </c>
    </row>
    <row r="11" spans="1:22">
      <c r="A11" s="963">
        <v>5</v>
      </c>
      <c r="B11" s="964" t="s">
        <v>97</v>
      </c>
      <c r="C11" s="1079">
        <f>'2-1-13 SIS'!H11</f>
        <v>0</v>
      </c>
      <c r="D11" s="965">
        <f>'Table 3 Levels 1&amp;2'!AL12</f>
        <v>4986.8166927080074</v>
      </c>
      <c r="E11" s="1012">
        <f t="shared" si="2"/>
        <v>0</v>
      </c>
      <c r="F11" s="1012">
        <f>'Table 4 Level 3'!P10</f>
        <v>555.91</v>
      </c>
      <c r="G11" s="1012">
        <f t="shared" si="3"/>
        <v>0</v>
      </c>
      <c r="H11" s="985">
        <f t="shared" si="4"/>
        <v>0</v>
      </c>
      <c r="I11" s="1022">
        <f t="shared" si="5"/>
        <v>0</v>
      </c>
      <c r="J11" s="985">
        <f t="shared" si="6"/>
        <v>0</v>
      </c>
      <c r="K11" s="985">
        <v>0</v>
      </c>
      <c r="L11" s="985">
        <f t="shared" si="7"/>
        <v>0</v>
      </c>
      <c r="M11" s="985">
        <f t="shared" si="8"/>
        <v>0</v>
      </c>
      <c r="N11" s="986">
        <f>'Table 5C1A-Madison Prep'!N11</f>
        <v>1751</v>
      </c>
      <c r="O11" s="987">
        <f t="shared" si="9"/>
        <v>0</v>
      </c>
      <c r="P11" s="1030">
        <f t="shared" si="10"/>
        <v>0</v>
      </c>
      <c r="Q11" s="987">
        <f t="shared" si="11"/>
        <v>0</v>
      </c>
      <c r="R11" s="987">
        <v>0</v>
      </c>
      <c r="S11" s="987">
        <f t="shared" si="12"/>
        <v>0</v>
      </c>
      <c r="T11" s="987">
        <f t="shared" si="13"/>
        <v>0</v>
      </c>
      <c r="U11" s="988">
        <f t="shared" si="14"/>
        <v>0</v>
      </c>
      <c r="V11" s="988">
        <f t="shared" si="14"/>
        <v>0</v>
      </c>
    </row>
    <row r="12" spans="1:22">
      <c r="A12" s="953">
        <v>6</v>
      </c>
      <c r="B12" s="954" t="s">
        <v>98</v>
      </c>
      <c r="C12" s="1080">
        <f>'2-1-13 SIS'!H12</f>
        <v>0</v>
      </c>
      <c r="D12" s="956">
        <f>'Table 3 Levels 1&amp;2'!AL13</f>
        <v>5412.7883404260592</v>
      </c>
      <c r="E12" s="1010">
        <f t="shared" si="2"/>
        <v>0</v>
      </c>
      <c r="F12" s="1010">
        <f>'Table 4 Level 3'!P11</f>
        <v>545.4799999999999</v>
      </c>
      <c r="G12" s="1010">
        <f t="shared" si="3"/>
        <v>0</v>
      </c>
      <c r="H12" s="957">
        <f t="shared" si="4"/>
        <v>0</v>
      </c>
      <c r="I12" s="1020">
        <f t="shared" si="5"/>
        <v>0</v>
      </c>
      <c r="J12" s="957">
        <f t="shared" si="6"/>
        <v>0</v>
      </c>
      <c r="K12" s="957">
        <v>0</v>
      </c>
      <c r="L12" s="957">
        <f t="shared" si="7"/>
        <v>0</v>
      </c>
      <c r="M12" s="957">
        <f t="shared" si="8"/>
        <v>0</v>
      </c>
      <c r="N12" s="981">
        <f>'Table 5C1A-Madison Prep'!N12</f>
        <v>3735</v>
      </c>
      <c r="O12" s="958">
        <f t="shared" si="9"/>
        <v>0</v>
      </c>
      <c r="P12" s="1028">
        <f t="shared" si="10"/>
        <v>0</v>
      </c>
      <c r="Q12" s="958">
        <f t="shared" si="11"/>
        <v>0</v>
      </c>
      <c r="R12" s="958">
        <v>0</v>
      </c>
      <c r="S12" s="958">
        <f t="shared" si="12"/>
        <v>0</v>
      </c>
      <c r="T12" s="958">
        <f t="shared" si="13"/>
        <v>0</v>
      </c>
      <c r="U12" s="959">
        <f t="shared" si="14"/>
        <v>0</v>
      </c>
      <c r="V12" s="959">
        <f t="shared" si="14"/>
        <v>0</v>
      </c>
    </row>
    <row r="13" spans="1:22">
      <c r="A13" s="960">
        <v>7</v>
      </c>
      <c r="B13" s="961" t="s">
        <v>99</v>
      </c>
      <c r="C13" s="1078">
        <f>'2-1-13 SIS'!H13</f>
        <v>0</v>
      </c>
      <c r="D13" s="962">
        <f>'Table 3 Levels 1&amp;2'!AL14</f>
        <v>1766.1023604176123</v>
      </c>
      <c r="E13" s="1011">
        <f t="shared" si="2"/>
        <v>0</v>
      </c>
      <c r="F13" s="1011">
        <f>'Table 4 Level 3'!P12</f>
        <v>756.91999999999985</v>
      </c>
      <c r="G13" s="1011">
        <f t="shared" si="3"/>
        <v>0</v>
      </c>
      <c r="H13" s="982">
        <f t="shared" si="4"/>
        <v>0</v>
      </c>
      <c r="I13" s="1021">
        <f t="shared" si="5"/>
        <v>0</v>
      </c>
      <c r="J13" s="982">
        <f t="shared" si="6"/>
        <v>0</v>
      </c>
      <c r="K13" s="982">
        <v>0</v>
      </c>
      <c r="L13" s="982">
        <f t="shared" si="7"/>
        <v>0</v>
      </c>
      <c r="M13" s="982">
        <f t="shared" si="8"/>
        <v>0</v>
      </c>
      <c r="N13" s="981">
        <f>'Table 5C1A-Madison Prep'!N13</f>
        <v>11329</v>
      </c>
      <c r="O13" s="983">
        <f t="shared" si="9"/>
        <v>0</v>
      </c>
      <c r="P13" s="1029">
        <f t="shared" si="10"/>
        <v>0</v>
      </c>
      <c r="Q13" s="983">
        <f t="shared" si="11"/>
        <v>0</v>
      </c>
      <c r="R13" s="983">
        <v>0</v>
      </c>
      <c r="S13" s="983">
        <f t="shared" si="12"/>
        <v>0</v>
      </c>
      <c r="T13" s="983">
        <f t="shared" si="13"/>
        <v>0</v>
      </c>
      <c r="U13" s="984">
        <f t="shared" si="14"/>
        <v>0</v>
      </c>
      <c r="V13" s="984">
        <f t="shared" si="14"/>
        <v>0</v>
      </c>
    </row>
    <row r="14" spans="1:22">
      <c r="A14" s="960">
        <v>8</v>
      </c>
      <c r="B14" s="961" t="s">
        <v>100</v>
      </c>
      <c r="C14" s="1078">
        <f>'2-1-13 SIS'!H14</f>
        <v>0</v>
      </c>
      <c r="D14" s="962">
        <f>'Table 3 Levels 1&amp;2'!AL15</f>
        <v>4289.5073606712331</v>
      </c>
      <c r="E14" s="1011">
        <f t="shared" si="2"/>
        <v>0</v>
      </c>
      <c r="F14" s="1011">
        <f>'Table 4 Level 3'!P13</f>
        <v>725.76</v>
      </c>
      <c r="G14" s="1011">
        <f t="shared" si="3"/>
        <v>0</v>
      </c>
      <c r="H14" s="982">
        <f t="shared" si="4"/>
        <v>0</v>
      </c>
      <c r="I14" s="1021">
        <f t="shared" si="5"/>
        <v>0</v>
      </c>
      <c r="J14" s="982">
        <f t="shared" si="6"/>
        <v>0</v>
      </c>
      <c r="K14" s="982">
        <v>0</v>
      </c>
      <c r="L14" s="982">
        <f t="shared" si="7"/>
        <v>0</v>
      </c>
      <c r="M14" s="982">
        <f t="shared" si="8"/>
        <v>0</v>
      </c>
      <c r="N14" s="981">
        <f>'Table 5C1A-Madison Prep'!N14</f>
        <v>3915</v>
      </c>
      <c r="O14" s="983">
        <f t="shared" si="9"/>
        <v>0</v>
      </c>
      <c r="P14" s="1029">
        <f t="shared" si="10"/>
        <v>0</v>
      </c>
      <c r="Q14" s="983">
        <f t="shared" si="11"/>
        <v>0</v>
      </c>
      <c r="R14" s="983">
        <v>0</v>
      </c>
      <c r="S14" s="983">
        <f t="shared" si="12"/>
        <v>0</v>
      </c>
      <c r="T14" s="983">
        <f t="shared" si="13"/>
        <v>0</v>
      </c>
      <c r="U14" s="984">
        <f t="shared" si="14"/>
        <v>0</v>
      </c>
      <c r="V14" s="984">
        <f t="shared" si="14"/>
        <v>0</v>
      </c>
    </row>
    <row r="15" spans="1:22">
      <c r="A15" s="960">
        <v>9</v>
      </c>
      <c r="B15" s="961" t="s">
        <v>101</v>
      </c>
      <c r="C15" s="1078">
        <f>'2-1-13 SIS'!H15</f>
        <v>0</v>
      </c>
      <c r="D15" s="962">
        <f>'Table 3 Levels 1&amp;2'!AL16</f>
        <v>4395.6154516889328</v>
      </c>
      <c r="E15" s="1011">
        <f t="shared" si="2"/>
        <v>0</v>
      </c>
      <c r="F15" s="1011">
        <f>'Table 4 Level 3'!P14</f>
        <v>744.76</v>
      </c>
      <c r="G15" s="1011">
        <f t="shared" si="3"/>
        <v>0</v>
      </c>
      <c r="H15" s="982">
        <f t="shared" si="4"/>
        <v>0</v>
      </c>
      <c r="I15" s="1021">
        <f t="shared" si="5"/>
        <v>0</v>
      </c>
      <c r="J15" s="982">
        <f t="shared" si="6"/>
        <v>0</v>
      </c>
      <c r="K15" s="982">
        <v>0</v>
      </c>
      <c r="L15" s="982">
        <f t="shared" si="7"/>
        <v>0</v>
      </c>
      <c r="M15" s="982">
        <f t="shared" si="8"/>
        <v>0</v>
      </c>
      <c r="N15" s="981">
        <f>'Table 5C1A-Madison Prep'!N15</f>
        <v>4627</v>
      </c>
      <c r="O15" s="983">
        <f t="shared" si="9"/>
        <v>0</v>
      </c>
      <c r="P15" s="1029">
        <f t="shared" si="10"/>
        <v>0</v>
      </c>
      <c r="Q15" s="983">
        <f t="shared" si="11"/>
        <v>0</v>
      </c>
      <c r="R15" s="983">
        <v>0</v>
      </c>
      <c r="S15" s="983">
        <f t="shared" si="12"/>
        <v>0</v>
      </c>
      <c r="T15" s="983">
        <f t="shared" si="13"/>
        <v>0</v>
      </c>
      <c r="U15" s="984">
        <f t="shared" si="14"/>
        <v>0</v>
      </c>
      <c r="V15" s="984">
        <f t="shared" si="14"/>
        <v>0</v>
      </c>
    </row>
    <row r="16" spans="1:22">
      <c r="A16" s="963">
        <v>10</v>
      </c>
      <c r="B16" s="964" t="s">
        <v>102</v>
      </c>
      <c r="C16" s="1079">
        <f>'2-1-13 SIS'!H16</f>
        <v>0</v>
      </c>
      <c r="D16" s="965">
        <f>'Table 3 Levels 1&amp;2'!AL17</f>
        <v>4253.5980618992444</v>
      </c>
      <c r="E16" s="1012">
        <f t="shared" si="2"/>
        <v>0</v>
      </c>
      <c r="F16" s="1012">
        <f>'Table 4 Level 3'!P15</f>
        <v>608.04000000000008</v>
      </c>
      <c r="G16" s="1012">
        <f t="shared" si="3"/>
        <v>0</v>
      </c>
      <c r="H16" s="985">
        <f t="shared" si="4"/>
        <v>0</v>
      </c>
      <c r="I16" s="1022">
        <f t="shared" si="5"/>
        <v>0</v>
      </c>
      <c r="J16" s="985">
        <f t="shared" si="6"/>
        <v>0</v>
      </c>
      <c r="K16" s="985">
        <v>0</v>
      </c>
      <c r="L16" s="985">
        <f t="shared" si="7"/>
        <v>0</v>
      </c>
      <c r="M16" s="985">
        <f t="shared" si="8"/>
        <v>0</v>
      </c>
      <c r="N16" s="986">
        <f>'Table 5C1A-Madison Prep'!N16</f>
        <v>4489</v>
      </c>
      <c r="O16" s="987">
        <f t="shared" si="9"/>
        <v>0</v>
      </c>
      <c r="P16" s="1030">
        <f t="shared" si="10"/>
        <v>0</v>
      </c>
      <c r="Q16" s="987">
        <f t="shared" si="11"/>
        <v>0</v>
      </c>
      <c r="R16" s="987">
        <v>0</v>
      </c>
      <c r="S16" s="987">
        <f t="shared" si="12"/>
        <v>0</v>
      </c>
      <c r="T16" s="987">
        <f t="shared" si="13"/>
        <v>0</v>
      </c>
      <c r="U16" s="988">
        <f t="shared" si="14"/>
        <v>0</v>
      </c>
      <c r="V16" s="988">
        <f t="shared" si="14"/>
        <v>0</v>
      </c>
    </row>
    <row r="17" spans="1:22">
      <c r="A17" s="953">
        <v>11</v>
      </c>
      <c r="B17" s="954" t="s">
        <v>103</v>
      </c>
      <c r="C17" s="1080">
        <f>'2-1-13 SIS'!H17</f>
        <v>0</v>
      </c>
      <c r="D17" s="956">
        <f>'Table 3 Levels 1&amp;2'!AL18</f>
        <v>6852.9138435383502</v>
      </c>
      <c r="E17" s="1010">
        <f t="shared" si="2"/>
        <v>0</v>
      </c>
      <c r="F17" s="1010">
        <f>'Table 4 Level 3'!P16</f>
        <v>706.55</v>
      </c>
      <c r="G17" s="1010">
        <f t="shared" si="3"/>
        <v>0</v>
      </c>
      <c r="H17" s="957">
        <f t="shared" si="4"/>
        <v>0</v>
      </c>
      <c r="I17" s="1020">
        <f t="shared" si="5"/>
        <v>0</v>
      </c>
      <c r="J17" s="957">
        <f t="shared" si="6"/>
        <v>0</v>
      </c>
      <c r="K17" s="957">
        <v>0</v>
      </c>
      <c r="L17" s="957">
        <f t="shared" si="7"/>
        <v>0</v>
      </c>
      <c r="M17" s="957">
        <f t="shared" si="8"/>
        <v>0</v>
      </c>
      <c r="N17" s="981">
        <f>'Table 5C1A-Madison Prep'!N17</f>
        <v>3654</v>
      </c>
      <c r="O17" s="958">
        <f t="shared" si="9"/>
        <v>0</v>
      </c>
      <c r="P17" s="1028">
        <f t="shared" si="10"/>
        <v>0</v>
      </c>
      <c r="Q17" s="958">
        <f t="shared" si="11"/>
        <v>0</v>
      </c>
      <c r="R17" s="958">
        <v>0</v>
      </c>
      <c r="S17" s="958">
        <f t="shared" si="12"/>
        <v>0</v>
      </c>
      <c r="T17" s="958">
        <f t="shared" si="13"/>
        <v>0</v>
      </c>
      <c r="U17" s="959">
        <f t="shared" si="14"/>
        <v>0</v>
      </c>
      <c r="V17" s="959">
        <f t="shared" si="14"/>
        <v>0</v>
      </c>
    </row>
    <row r="18" spans="1:22">
      <c r="A18" s="960">
        <v>12</v>
      </c>
      <c r="B18" s="961" t="s">
        <v>104</v>
      </c>
      <c r="C18" s="1078">
        <f>'2-1-13 SIS'!H18</f>
        <v>0</v>
      </c>
      <c r="D18" s="962">
        <f>'Table 3 Levels 1&amp;2'!AL19</f>
        <v>1733.9056059356967</v>
      </c>
      <c r="E18" s="1011">
        <f t="shared" si="2"/>
        <v>0</v>
      </c>
      <c r="F18" s="1011">
        <f>'Table 4 Level 3'!P17</f>
        <v>1063.31</v>
      </c>
      <c r="G18" s="1011">
        <f t="shared" si="3"/>
        <v>0</v>
      </c>
      <c r="H18" s="982">
        <f t="shared" si="4"/>
        <v>0</v>
      </c>
      <c r="I18" s="1021">
        <f t="shared" si="5"/>
        <v>0</v>
      </c>
      <c r="J18" s="982">
        <f t="shared" si="6"/>
        <v>0</v>
      </c>
      <c r="K18" s="982">
        <v>0</v>
      </c>
      <c r="L18" s="982">
        <f t="shared" si="7"/>
        <v>0</v>
      </c>
      <c r="M18" s="982">
        <f t="shared" si="8"/>
        <v>0</v>
      </c>
      <c r="N18" s="981">
        <f>'Table 5C1A-Madison Prep'!N18</f>
        <v>13767</v>
      </c>
      <c r="O18" s="983">
        <f t="shared" si="9"/>
        <v>0</v>
      </c>
      <c r="P18" s="1029">
        <f t="shared" si="10"/>
        <v>0</v>
      </c>
      <c r="Q18" s="983">
        <f t="shared" si="11"/>
        <v>0</v>
      </c>
      <c r="R18" s="983">
        <v>0</v>
      </c>
      <c r="S18" s="983">
        <f t="shared" si="12"/>
        <v>0</v>
      </c>
      <c r="T18" s="983">
        <f t="shared" si="13"/>
        <v>0</v>
      </c>
      <c r="U18" s="984">
        <f t="shared" si="14"/>
        <v>0</v>
      </c>
      <c r="V18" s="984">
        <f t="shared" si="14"/>
        <v>0</v>
      </c>
    </row>
    <row r="19" spans="1:22">
      <c r="A19" s="960">
        <v>13</v>
      </c>
      <c r="B19" s="961" t="s">
        <v>105</v>
      </c>
      <c r="C19" s="1078">
        <f>'2-1-13 SIS'!H19</f>
        <v>0</v>
      </c>
      <c r="D19" s="962">
        <f>'Table 3 Levels 1&amp;2'!AL20</f>
        <v>6254.1238637730876</v>
      </c>
      <c r="E19" s="1011">
        <f t="shared" si="2"/>
        <v>0</v>
      </c>
      <c r="F19" s="1011">
        <f>'Table 4 Level 3'!P18</f>
        <v>749.43000000000006</v>
      </c>
      <c r="G19" s="1011">
        <f t="shared" si="3"/>
        <v>0</v>
      </c>
      <c r="H19" s="982">
        <f t="shared" si="4"/>
        <v>0</v>
      </c>
      <c r="I19" s="1021">
        <f t="shared" si="5"/>
        <v>0</v>
      </c>
      <c r="J19" s="982">
        <f t="shared" si="6"/>
        <v>0</v>
      </c>
      <c r="K19" s="982">
        <v>0</v>
      </c>
      <c r="L19" s="982">
        <f t="shared" si="7"/>
        <v>0</v>
      </c>
      <c r="M19" s="982">
        <f t="shared" si="8"/>
        <v>0</v>
      </c>
      <c r="N19" s="981">
        <f>'Table 5C1A-Madison Prep'!N19</f>
        <v>2525</v>
      </c>
      <c r="O19" s="983">
        <f t="shared" si="9"/>
        <v>0</v>
      </c>
      <c r="P19" s="1029">
        <f t="shared" si="10"/>
        <v>0</v>
      </c>
      <c r="Q19" s="983">
        <f t="shared" si="11"/>
        <v>0</v>
      </c>
      <c r="R19" s="983">
        <v>0</v>
      </c>
      <c r="S19" s="983">
        <f t="shared" si="12"/>
        <v>0</v>
      </c>
      <c r="T19" s="983">
        <f t="shared" si="13"/>
        <v>0</v>
      </c>
      <c r="U19" s="984">
        <f t="shared" si="14"/>
        <v>0</v>
      </c>
      <c r="V19" s="984">
        <f t="shared" si="14"/>
        <v>0</v>
      </c>
    </row>
    <row r="20" spans="1:22">
      <c r="A20" s="960">
        <v>14</v>
      </c>
      <c r="B20" s="961" t="s">
        <v>106</v>
      </c>
      <c r="C20" s="1078">
        <f>'2-1-13 SIS'!H20</f>
        <v>2</v>
      </c>
      <c r="D20" s="962">
        <f>'Table 3 Levels 1&amp;2'!AL21</f>
        <v>5377.9187438545459</v>
      </c>
      <c r="E20" s="1011">
        <f t="shared" si="2"/>
        <v>10755.837487709092</v>
      </c>
      <c r="F20" s="1011">
        <f>'Table 4 Level 3'!P19</f>
        <v>809.9799999999999</v>
      </c>
      <c r="G20" s="1011">
        <f t="shared" si="3"/>
        <v>1619.9599999999998</v>
      </c>
      <c r="H20" s="982">
        <f t="shared" si="4"/>
        <v>12375.797487709091</v>
      </c>
      <c r="I20" s="1021">
        <f t="shared" si="5"/>
        <v>-30.939493719272729</v>
      </c>
      <c r="J20" s="982">
        <f t="shared" si="6"/>
        <v>12344.857993989819</v>
      </c>
      <c r="K20" s="982">
        <v>0</v>
      </c>
      <c r="L20" s="982">
        <f t="shared" si="7"/>
        <v>12344.857993989819</v>
      </c>
      <c r="M20" s="982">
        <f t="shared" si="8"/>
        <v>1028.7381661658183</v>
      </c>
      <c r="N20" s="981">
        <f>'Table 5C1A-Madison Prep'!N20</f>
        <v>3988</v>
      </c>
      <c r="O20" s="983">
        <f t="shared" si="9"/>
        <v>7976</v>
      </c>
      <c r="P20" s="1029">
        <f t="shared" si="10"/>
        <v>-19.940000000000001</v>
      </c>
      <c r="Q20" s="983">
        <f t="shared" si="11"/>
        <v>7956.06</v>
      </c>
      <c r="R20" s="983">
        <v>0</v>
      </c>
      <c r="S20" s="983">
        <f t="shared" si="12"/>
        <v>7956.06</v>
      </c>
      <c r="T20" s="983">
        <f t="shared" si="13"/>
        <v>663.005</v>
      </c>
      <c r="U20" s="984">
        <f t="shared" si="14"/>
        <v>20300.91799398982</v>
      </c>
      <c r="V20" s="984">
        <f t="shared" si="14"/>
        <v>1691.7431661658184</v>
      </c>
    </row>
    <row r="21" spans="1:22">
      <c r="A21" s="963">
        <v>15</v>
      </c>
      <c r="B21" s="964" t="s">
        <v>107</v>
      </c>
      <c r="C21" s="1079">
        <f>'2-1-13 SIS'!H21</f>
        <v>0</v>
      </c>
      <c r="D21" s="965">
        <f>'Table 3 Levels 1&amp;2'!AL22</f>
        <v>5527.7651197617861</v>
      </c>
      <c r="E21" s="1012">
        <f t="shared" si="2"/>
        <v>0</v>
      </c>
      <c r="F21" s="1012">
        <f>'Table 4 Level 3'!P20</f>
        <v>553.79999999999995</v>
      </c>
      <c r="G21" s="1012">
        <f t="shared" si="3"/>
        <v>0</v>
      </c>
      <c r="H21" s="985">
        <f t="shared" si="4"/>
        <v>0</v>
      </c>
      <c r="I21" s="1022">
        <f t="shared" si="5"/>
        <v>0</v>
      </c>
      <c r="J21" s="985">
        <f t="shared" si="6"/>
        <v>0</v>
      </c>
      <c r="K21" s="985">
        <v>0</v>
      </c>
      <c r="L21" s="985">
        <f t="shared" si="7"/>
        <v>0</v>
      </c>
      <c r="M21" s="985">
        <f t="shared" si="8"/>
        <v>0</v>
      </c>
      <c r="N21" s="986">
        <f>'Table 5C1A-Madison Prep'!N21</f>
        <v>2544</v>
      </c>
      <c r="O21" s="987">
        <f t="shared" si="9"/>
        <v>0</v>
      </c>
      <c r="P21" s="1030">
        <f t="shared" si="10"/>
        <v>0</v>
      </c>
      <c r="Q21" s="987">
        <f t="shared" si="11"/>
        <v>0</v>
      </c>
      <c r="R21" s="987">
        <v>0</v>
      </c>
      <c r="S21" s="987">
        <f t="shared" si="12"/>
        <v>0</v>
      </c>
      <c r="T21" s="987">
        <f t="shared" si="13"/>
        <v>0</v>
      </c>
      <c r="U21" s="988">
        <f t="shared" si="14"/>
        <v>0</v>
      </c>
      <c r="V21" s="988">
        <f t="shared" si="14"/>
        <v>0</v>
      </c>
    </row>
    <row r="22" spans="1:22">
      <c r="A22" s="953">
        <v>16</v>
      </c>
      <c r="B22" s="954" t="s">
        <v>108</v>
      </c>
      <c r="C22" s="1080">
        <f>'2-1-13 SIS'!H22</f>
        <v>0</v>
      </c>
      <c r="D22" s="956">
        <f>'Table 3 Levels 1&amp;2'!AL23</f>
        <v>1530.3678845377474</v>
      </c>
      <c r="E22" s="1010">
        <f t="shared" si="2"/>
        <v>0</v>
      </c>
      <c r="F22" s="1010">
        <f>'Table 4 Level 3'!P21</f>
        <v>686.73</v>
      </c>
      <c r="G22" s="1010">
        <f t="shared" si="3"/>
        <v>0</v>
      </c>
      <c r="H22" s="957">
        <f t="shared" si="4"/>
        <v>0</v>
      </c>
      <c r="I22" s="1020">
        <f t="shared" si="5"/>
        <v>0</v>
      </c>
      <c r="J22" s="957">
        <f t="shared" si="6"/>
        <v>0</v>
      </c>
      <c r="K22" s="957">
        <v>0</v>
      </c>
      <c r="L22" s="957">
        <f t="shared" si="7"/>
        <v>0</v>
      </c>
      <c r="M22" s="957">
        <f t="shared" si="8"/>
        <v>0</v>
      </c>
      <c r="N22" s="981">
        <f>'Table 5C1A-Madison Prep'!N22</f>
        <v>12132</v>
      </c>
      <c r="O22" s="958">
        <f t="shared" si="9"/>
        <v>0</v>
      </c>
      <c r="P22" s="1028">
        <f t="shared" si="10"/>
        <v>0</v>
      </c>
      <c r="Q22" s="958">
        <f t="shared" si="11"/>
        <v>0</v>
      </c>
      <c r="R22" s="958">
        <v>0</v>
      </c>
      <c r="S22" s="958">
        <f t="shared" si="12"/>
        <v>0</v>
      </c>
      <c r="T22" s="958">
        <f t="shared" si="13"/>
        <v>0</v>
      </c>
      <c r="U22" s="959">
        <f t="shared" si="14"/>
        <v>0</v>
      </c>
      <c r="V22" s="959">
        <f t="shared" si="14"/>
        <v>0</v>
      </c>
    </row>
    <row r="23" spans="1:22">
      <c r="A23" s="960">
        <v>17</v>
      </c>
      <c r="B23" s="961" t="s">
        <v>109</v>
      </c>
      <c r="C23" s="1078">
        <f>'2-1-13 SIS'!H23</f>
        <v>0</v>
      </c>
      <c r="D23" s="962">
        <f>'Table 3 Levels 1&amp;2'!AL24</f>
        <v>3313.0666313017805</v>
      </c>
      <c r="E23" s="1011">
        <f t="shared" si="2"/>
        <v>0</v>
      </c>
      <c r="F23" s="1011">
        <f>'Table 5B2_RSD_LA'!F7</f>
        <v>801.47762416806802</v>
      </c>
      <c r="G23" s="1011">
        <f t="shared" si="3"/>
        <v>0</v>
      </c>
      <c r="H23" s="982">
        <f t="shared" si="4"/>
        <v>0</v>
      </c>
      <c r="I23" s="1021">
        <f t="shared" si="5"/>
        <v>0</v>
      </c>
      <c r="J23" s="982">
        <f t="shared" si="6"/>
        <v>0</v>
      </c>
      <c r="K23" s="982">
        <v>0</v>
      </c>
      <c r="L23" s="982">
        <f t="shared" si="7"/>
        <v>0</v>
      </c>
      <c r="M23" s="982">
        <f t="shared" si="8"/>
        <v>0</v>
      </c>
      <c r="N23" s="981">
        <f>'Table 5C1A-Madison Prep'!N23</f>
        <v>6764</v>
      </c>
      <c r="O23" s="983">
        <f t="shared" si="9"/>
        <v>0</v>
      </c>
      <c r="P23" s="1029">
        <f t="shared" si="10"/>
        <v>0</v>
      </c>
      <c r="Q23" s="983">
        <f t="shared" si="11"/>
        <v>0</v>
      </c>
      <c r="R23" s="983">
        <v>0</v>
      </c>
      <c r="S23" s="983">
        <f t="shared" si="12"/>
        <v>0</v>
      </c>
      <c r="T23" s="983">
        <f t="shared" si="13"/>
        <v>0</v>
      </c>
      <c r="U23" s="984">
        <f t="shared" si="14"/>
        <v>0</v>
      </c>
      <c r="V23" s="984">
        <f t="shared" si="14"/>
        <v>0</v>
      </c>
    </row>
    <row r="24" spans="1:22">
      <c r="A24" s="960">
        <v>18</v>
      </c>
      <c r="B24" s="961" t="s">
        <v>110</v>
      </c>
      <c r="C24" s="1078">
        <f>'2-1-13 SIS'!H24</f>
        <v>0</v>
      </c>
      <c r="D24" s="962">
        <f>'Table 3 Levels 1&amp;2'!AL25</f>
        <v>5989.1351892854573</v>
      </c>
      <c r="E24" s="1011">
        <f t="shared" si="2"/>
        <v>0</v>
      </c>
      <c r="F24" s="1011">
        <f>'Table 4 Level 3'!P23</f>
        <v>845.94999999999993</v>
      </c>
      <c r="G24" s="1011">
        <f t="shared" si="3"/>
        <v>0</v>
      </c>
      <c r="H24" s="982">
        <f t="shared" si="4"/>
        <v>0</v>
      </c>
      <c r="I24" s="1021">
        <f t="shared" si="5"/>
        <v>0</v>
      </c>
      <c r="J24" s="982">
        <f t="shared" si="6"/>
        <v>0</v>
      </c>
      <c r="K24" s="982">
        <v>0</v>
      </c>
      <c r="L24" s="982">
        <f t="shared" si="7"/>
        <v>0</v>
      </c>
      <c r="M24" s="982">
        <f t="shared" si="8"/>
        <v>0</v>
      </c>
      <c r="N24" s="981">
        <f>'Table 5C1A-Madison Prep'!N24</f>
        <v>2925</v>
      </c>
      <c r="O24" s="983">
        <f t="shared" si="9"/>
        <v>0</v>
      </c>
      <c r="P24" s="1029">
        <f t="shared" si="10"/>
        <v>0</v>
      </c>
      <c r="Q24" s="983">
        <f t="shared" si="11"/>
        <v>0</v>
      </c>
      <c r="R24" s="983">
        <v>0</v>
      </c>
      <c r="S24" s="983">
        <f t="shared" si="12"/>
        <v>0</v>
      </c>
      <c r="T24" s="983">
        <f t="shared" si="13"/>
        <v>0</v>
      </c>
      <c r="U24" s="984">
        <f t="shared" si="14"/>
        <v>0</v>
      </c>
      <c r="V24" s="984">
        <f t="shared" si="14"/>
        <v>0</v>
      </c>
    </row>
    <row r="25" spans="1:22">
      <c r="A25" s="960">
        <v>19</v>
      </c>
      <c r="B25" s="961" t="s">
        <v>111</v>
      </c>
      <c r="C25" s="1078">
        <f>'2-1-13 SIS'!H25</f>
        <v>0</v>
      </c>
      <c r="D25" s="962">
        <f>'Table 3 Levels 1&amp;2'!AL26</f>
        <v>5315.8913399708035</v>
      </c>
      <c r="E25" s="1011">
        <f t="shared" si="2"/>
        <v>0</v>
      </c>
      <c r="F25" s="1011">
        <f>'Table 4 Level 3'!P24</f>
        <v>905.43</v>
      </c>
      <c r="G25" s="1011">
        <f t="shared" si="3"/>
        <v>0</v>
      </c>
      <c r="H25" s="982">
        <f t="shared" si="4"/>
        <v>0</v>
      </c>
      <c r="I25" s="1021">
        <f t="shared" si="5"/>
        <v>0</v>
      </c>
      <c r="J25" s="982">
        <f t="shared" si="6"/>
        <v>0</v>
      </c>
      <c r="K25" s="982">
        <v>0</v>
      </c>
      <c r="L25" s="982">
        <f t="shared" si="7"/>
        <v>0</v>
      </c>
      <c r="M25" s="982">
        <f t="shared" si="8"/>
        <v>0</v>
      </c>
      <c r="N25" s="981">
        <f>'Table 5C1A-Madison Prep'!N25</f>
        <v>2570</v>
      </c>
      <c r="O25" s="983">
        <f t="shared" si="9"/>
        <v>0</v>
      </c>
      <c r="P25" s="1029">
        <f t="shared" si="10"/>
        <v>0</v>
      </c>
      <c r="Q25" s="983">
        <f t="shared" si="11"/>
        <v>0</v>
      </c>
      <c r="R25" s="983">
        <v>0</v>
      </c>
      <c r="S25" s="983">
        <f t="shared" si="12"/>
        <v>0</v>
      </c>
      <c r="T25" s="983">
        <f t="shared" si="13"/>
        <v>0</v>
      </c>
      <c r="U25" s="984">
        <f t="shared" si="14"/>
        <v>0</v>
      </c>
      <c r="V25" s="984">
        <f t="shared" si="14"/>
        <v>0</v>
      </c>
    </row>
    <row r="26" spans="1:22">
      <c r="A26" s="963">
        <v>20</v>
      </c>
      <c r="B26" s="964" t="s">
        <v>112</v>
      </c>
      <c r="C26" s="1079">
        <f>'2-1-13 SIS'!H26</f>
        <v>0</v>
      </c>
      <c r="D26" s="965">
        <f>'Table 3 Levels 1&amp;2'!AL27</f>
        <v>5420.2042919205833</v>
      </c>
      <c r="E26" s="1012">
        <f t="shared" si="2"/>
        <v>0</v>
      </c>
      <c r="F26" s="1012">
        <f>'Table 4 Level 3'!P25</f>
        <v>586.16999999999996</v>
      </c>
      <c r="G26" s="1012">
        <f t="shared" si="3"/>
        <v>0</v>
      </c>
      <c r="H26" s="985">
        <f t="shared" si="4"/>
        <v>0</v>
      </c>
      <c r="I26" s="1022">
        <f t="shared" si="5"/>
        <v>0</v>
      </c>
      <c r="J26" s="985">
        <f t="shared" si="6"/>
        <v>0</v>
      </c>
      <c r="K26" s="985">
        <v>0</v>
      </c>
      <c r="L26" s="985">
        <f t="shared" si="7"/>
        <v>0</v>
      </c>
      <c r="M26" s="985">
        <f t="shared" si="8"/>
        <v>0</v>
      </c>
      <c r="N26" s="986">
        <f>'Table 5C1A-Madison Prep'!N26</f>
        <v>2420</v>
      </c>
      <c r="O26" s="987">
        <f t="shared" si="9"/>
        <v>0</v>
      </c>
      <c r="P26" s="1030">
        <f t="shared" si="10"/>
        <v>0</v>
      </c>
      <c r="Q26" s="987">
        <f t="shared" si="11"/>
        <v>0</v>
      </c>
      <c r="R26" s="987">
        <v>0</v>
      </c>
      <c r="S26" s="987">
        <f t="shared" si="12"/>
        <v>0</v>
      </c>
      <c r="T26" s="987">
        <f t="shared" si="13"/>
        <v>0</v>
      </c>
      <c r="U26" s="988">
        <f t="shared" si="14"/>
        <v>0</v>
      </c>
      <c r="V26" s="988">
        <f t="shared" si="14"/>
        <v>0</v>
      </c>
    </row>
    <row r="27" spans="1:22">
      <c r="A27" s="953">
        <v>21</v>
      </c>
      <c r="B27" s="954" t="s">
        <v>113</v>
      </c>
      <c r="C27" s="1080">
        <f>'2-1-13 SIS'!H27</f>
        <v>0</v>
      </c>
      <c r="D27" s="956">
        <f>'Table 3 Levels 1&amp;2'!AL28</f>
        <v>5724.5404916279067</v>
      </c>
      <c r="E27" s="1010">
        <f t="shared" si="2"/>
        <v>0</v>
      </c>
      <c r="F27" s="1010">
        <f>'Table 4 Level 3'!P26</f>
        <v>610.35</v>
      </c>
      <c r="G27" s="1010">
        <f t="shared" si="3"/>
        <v>0</v>
      </c>
      <c r="H27" s="957">
        <f t="shared" si="4"/>
        <v>0</v>
      </c>
      <c r="I27" s="1020">
        <f t="shared" si="5"/>
        <v>0</v>
      </c>
      <c r="J27" s="957">
        <f t="shared" si="6"/>
        <v>0</v>
      </c>
      <c r="K27" s="957">
        <v>0</v>
      </c>
      <c r="L27" s="957">
        <f t="shared" si="7"/>
        <v>0</v>
      </c>
      <c r="M27" s="957">
        <f t="shared" si="8"/>
        <v>0</v>
      </c>
      <c r="N27" s="981">
        <f>'Table 5C1A-Madison Prep'!N27</f>
        <v>2265</v>
      </c>
      <c r="O27" s="958">
        <f t="shared" si="9"/>
        <v>0</v>
      </c>
      <c r="P27" s="1028">
        <f t="shared" si="10"/>
        <v>0</v>
      </c>
      <c r="Q27" s="958">
        <f t="shared" si="11"/>
        <v>0</v>
      </c>
      <c r="R27" s="958">
        <v>0</v>
      </c>
      <c r="S27" s="958">
        <f t="shared" si="12"/>
        <v>0</v>
      </c>
      <c r="T27" s="958">
        <f t="shared" si="13"/>
        <v>0</v>
      </c>
      <c r="U27" s="959">
        <f t="shared" si="14"/>
        <v>0</v>
      </c>
      <c r="V27" s="959">
        <f t="shared" si="14"/>
        <v>0</v>
      </c>
    </row>
    <row r="28" spans="1:22">
      <c r="A28" s="960">
        <v>22</v>
      </c>
      <c r="B28" s="961" t="s">
        <v>114</v>
      </c>
      <c r="C28" s="1078">
        <f>'2-1-13 SIS'!H28</f>
        <v>0</v>
      </c>
      <c r="D28" s="962">
        <f>'Table 3 Levels 1&amp;2'!AL29</f>
        <v>6203.2933768722742</v>
      </c>
      <c r="E28" s="1011">
        <f t="shared" si="2"/>
        <v>0</v>
      </c>
      <c r="F28" s="1011">
        <f>'Table 4 Level 3'!P27</f>
        <v>496.36</v>
      </c>
      <c r="G28" s="1011">
        <f t="shared" si="3"/>
        <v>0</v>
      </c>
      <c r="H28" s="982">
        <f t="shared" si="4"/>
        <v>0</v>
      </c>
      <c r="I28" s="1021">
        <f t="shared" si="5"/>
        <v>0</v>
      </c>
      <c r="J28" s="982">
        <f t="shared" si="6"/>
        <v>0</v>
      </c>
      <c r="K28" s="982">
        <v>0</v>
      </c>
      <c r="L28" s="982">
        <f t="shared" si="7"/>
        <v>0</v>
      </c>
      <c r="M28" s="982">
        <f t="shared" si="8"/>
        <v>0</v>
      </c>
      <c r="N28" s="981">
        <f>'Table 5C1A-Madison Prep'!N28</f>
        <v>1438</v>
      </c>
      <c r="O28" s="983">
        <f t="shared" si="9"/>
        <v>0</v>
      </c>
      <c r="P28" s="1029">
        <f t="shared" si="10"/>
        <v>0</v>
      </c>
      <c r="Q28" s="983">
        <f t="shared" si="11"/>
        <v>0</v>
      </c>
      <c r="R28" s="983">
        <v>0</v>
      </c>
      <c r="S28" s="983">
        <f t="shared" si="12"/>
        <v>0</v>
      </c>
      <c r="T28" s="983">
        <f t="shared" si="13"/>
        <v>0</v>
      </c>
      <c r="U28" s="984">
        <f t="shared" si="14"/>
        <v>0</v>
      </c>
      <c r="V28" s="984">
        <f t="shared" si="14"/>
        <v>0</v>
      </c>
    </row>
    <row r="29" spans="1:22">
      <c r="A29" s="960">
        <v>23</v>
      </c>
      <c r="B29" s="961" t="s">
        <v>115</v>
      </c>
      <c r="C29" s="1078">
        <f>'2-1-13 SIS'!H29</f>
        <v>0</v>
      </c>
      <c r="D29" s="962">
        <f>'Table 3 Levels 1&amp;2'!AL30</f>
        <v>4846.0802490067681</v>
      </c>
      <c r="E29" s="1011">
        <f t="shared" si="2"/>
        <v>0</v>
      </c>
      <c r="F29" s="1011">
        <f>'Table 4 Level 3'!P28</f>
        <v>688.58</v>
      </c>
      <c r="G29" s="1011">
        <f t="shared" si="3"/>
        <v>0</v>
      </c>
      <c r="H29" s="982">
        <f t="shared" si="4"/>
        <v>0</v>
      </c>
      <c r="I29" s="1021">
        <f t="shared" si="5"/>
        <v>0</v>
      </c>
      <c r="J29" s="982">
        <f t="shared" si="6"/>
        <v>0</v>
      </c>
      <c r="K29" s="982">
        <v>0</v>
      </c>
      <c r="L29" s="982">
        <f t="shared" si="7"/>
        <v>0</v>
      </c>
      <c r="M29" s="982">
        <f t="shared" si="8"/>
        <v>0</v>
      </c>
      <c r="N29" s="981">
        <f>'Table 5C1A-Madison Prep'!N29</f>
        <v>3386</v>
      </c>
      <c r="O29" s="983">
        <f t="shared" si="9"/>
        <v>0</v>
      </c>
      <c r="P29" s="1029">
        <f t="shared" si="10"/>
        <v>0</v>
      </c>
      <c r="Q29" s="983">
        <f t="shared" si="11"/>
        <v>0</v>
      </c>
      <c r="R29" s="983">
        <v>0</v>
      </c>
      <c r="S29" s="983">
        <f t="shared" si="12"/>
        <v>0</v>
      </c>
      <c r="T29" s="983">
        <f t="shared" si="13"/>
        <v>0</v>
      </c>
      <c r="U29" s="984">
        <f t="shared" si="14"/>
        <v>0</v>
      </c>
      <c r="V29" s="984">
        <f t="shared" si="14"/>
        <v>0</v>
      </c>
    </row>
    <row r="30" spans="1:22">
      <c r="A30" s="960">
        <v>24</v>
      </c>
      <c r="B30" s="961" t="s">
        <v>116</v>
      </c>
      <c r="C30" s="1078">
        <f>'2-1-13 SIS'!H30</f>
        <v>0</v>
      </c>
      <c r="D30" s="962">
        <f>'Table 3 Levels 1&amp;2'!AL31</f>
        <v>2764.1216755319151</v>
      </c>
      <c r="E30" s="1011">
        <f t="shared" si="2"/>
        <v>0</v>
      </c>
      <c r="F30" s="1011">
        <f>'Table 4 Level 3'!P29</f>
        <v>854.24999999999989</v>
      </c>
      <c r="G30" s="1011">
        <f t="shared" si="3"/>
        <v>0</v>
      </c>
      <c r="H30" s="982">
        <f t="shared" si="4"/>
        <v>0</v>
      </c>
      <c r="I30" s="1021">
        <f t="shared" si="5"/>
        <v>0</v>
      </c>
      <c r="J30" s="982">
        <f t="shared" si="6"/>
        <v>0</v>
      </c>
      <c r="K30" s="982">
        <v>0</v>
      </c>
      <c r="L30" s="982">
        <f t="shared" si="7"/>
        <v>0</v>
      </c>
      <c r="M30" s="982">
        <f t="shared" si="8"/>
        <v>0</v>
      </c>
      <c r="N30" s="981">
        <f>'Table 5C1A-Madison Prep'!N30</f>
        <v>9761</v>
      </c>
      <c r="O30" s="983">
        <f t="shared" si="9"/>
        <v>0</v>
      </c>
      <c r="P30" s="1029">
        <f t="shared" si="10"/>
        <v>0</v>
      </c>
      <c r="Q30" s="983">
        <f t="shared" si="11"/>
        <v>0</v>
      </c>
      <c r="R30" s="983">
        <v>0</v>
      </c>
      <c r="S30" s="983">
        <f t="shared" si="12"/>
        <v>0</v>
      </c>
      <c r="T30" s="983">
        <f t="shared" si="13"/>
        <v>0</v>
      </c>
      <c r="U30" s="984">
        <f t="shared" si="14"/>
        <v>0</v>
      </c>
      <c r="V30" s="984">
        <f t="shared" si="14"/>
        <v>0</v>
      </c>
    </row>
    <row r="31" spans="1:22">
      <c r="A31" s="963">
        <v>25</v>
      </c>
      <c r="B31" s="964" t="s">
        <v>117</v>
      </c>
      <c r="C31" s="1079">
        <f>'2-1-13 SIS'!H31</f>
        <v>0</v>
      </c>
      <c r="D31" s="965">
        <f>'Table 3 Levels 1&amp;2'!AL32</f>
        <v>3867.4480692053257</v>
      </c>
      <c r="E31" s="1012">
        <f t="shared" si="2"/>
        <v>0</v>
      </c>
      <c r="F31" s="1012">
        <f>'Table 4 Level 3'!P30</f>
        <v>653.73</v>
      </c>
      <c r="G31" s="1012">
        <f t="shared" si="3"/>
        <v>0</v>
      </c>
      <c r="H31" s="985">
        <f t="shared" si="4"/>
        <v>0</v>
      </c>
      <c r="I31" s="1022">
        <f t="shared" si="5"/>
        <v>0</v>
      </c>
      <c r="J31" s="985">
        <f t="shared" si="6"/>
        <v>0</v>
      </c>
      <c r="K31" s="985">
        <v>0</v>
      </c>
      <c r="L31" s="985">
        <f t="shared" si="7"/>
        <v>0</v>
      </c>
      <c r="M31" s="985">
        <f t="shared" si="8"/>
        <v>0</v>
      </c>
      <c r="N31" s="986">
        <f>'Table 5C1A-Madison Prep'!N31</f>
        <v>4842</v>
      </c>
      <c r="O31" s="987">
        <f t="shared" si="9"/>
        <v>0</v>
      </c>
      <c r="P31" s="1030">
        <f t="shared" si="10"/>
        <v>0</v>
      </c>
      <c r="Q31" s="987">
        <f t="shared" si="11"/>
        <v>0</v>
      </c>
      <c r="R31" s="987">
        <v>0</v>
      </c>
      <c r="S31" s="987">
        <f t="shared" si="12"/>
        <v>0</v>
      </c>
      <c r="T31" s="987">
        <f t="shared" si="13"/>
        <v>0</v>
      </c>
      <c r="U31" s="988">
        <f t="shared" si="14"/>
        <v>0</v>
      </c>
      <c r="V31" s="988">
        <f t="shared" si="14"/>
        <v>0</v>
      </c>
    </row>
    <row r="32" spans="1:22">
      <c r="A32" s="953">
        <v>26</v>
      </c>
      <c r="B32" s="954" t="s">
        <v>118</v>
      </c>
      <c r="C32" s="1080">
        <f>'2-1-13 SIS'!H32</f>
        <v>0</v>
      </c>
      <c r="D32" s="956">
        <f>'Table 3 Levels 1&amp;2'!AL33</f>
        <v>3293.481526790355</v>
      </c>
      <c r="E32" s="1010">
        <f t="shared" si="2"/>
        <v>0</v>
      </c>
      <c r="F32" s="1010">
        <f>'Table 4 Level 3'!P31</f>
        <v>836.83</v>
      </c>
      <c r="G32" s="1010">
        <f t="shared" si="3"/>
        <v>0</v>
      </c>
      <c r="H32" s="957">
        <f t="shared" si="4"/>
        <v>0</v>
      </c>
      <c r="I32" s="1020">
        <f t="shared" si="5"/>
        <v>0</v>
      </c>
      <c r="J32" s="957">
        <f t="shared" si="6"/>
        <v>0</v>
      </c>
      <c r="K32" s="957">
        <v>0</v>
      </c>
      <c r="L32" s="957">
        <f t="shared" si="7"/>
        <v>0</v>
      </c>
      <c r="M32" s="957">
        <f t="shared" si="8"/>
        <v>0</v>
      </c>
      <c r="N32" s="981">
        <f>'Table 5C1A-Madison Prep'!N32</f>
        <v>5301</v>
      </c>
      <c r="O32" s="958">
        <f t="shared" si="9"/>
        <v>0</v>
      </c>
      <c r="P32" s="1028">
        <f t="shared" si="10"/>
        <v>0</v>
      </c>
      <c r="Q32" s="958">
        <f t="shared" si="11"/>
        <v>0</v>
      </c>
      <c r="R32" s="958">
        <v>0</v>
      </c>
      <c r="S32" s="958">
        <f t="shared" si="12"/>
        <v>0</v>
      </c>
      <c r="T32" s="958">
        <f t="shared" si="13"/>
        <v>0</v>
      </c>
      <c r="U32" s="959">
        <f t="shared" si="14"/>
        <v>0</v>
      </c>
      <c r="V32" s="959">
        <f t="shared" si="14"/>
        <v>0</v>
      </c>
    </row>
    <row r="33" spans="1:22">
      <c r="A33" s="960">
        <v>27</v>
      </c>
      <c r="B33" s="961" t="s">
        <v>119</v>
      </c>
      <c r="C33" s="1081">
        <f>'2-1-13 SIS'!H33</f>
        <v>0</v>
      </c>
      <c r="D33" s="966">
        <f>'Table 3 Levels 1&amp;2'!AL34</f>
        <v>5680.7727517381973</v>
      </c>
      <c r="E33" s="1013">
        <f t="shared" si="2"/>
        <v>0</v>
      </c>
      <c r="F33" s="1013">
        <f>'Table 4 Level 3'!P32</f>
        <v>693.06</v>
      </c>
      <c r="G33" s="1013">
        <f t="shared" si="3"/>
        <v>0</v>
      </c>
      <c r="H33" s="989">
        <f t="shared" si="4"/>
        <v>0</v>
      </c>
      <c r="I33" s="1023">
        <f t="shared" si="5"/>
        <v>0</v>
      </c>
      <c r="J33" s="989">
        <f t="shared" si="6"/>
        <v>0</v>
      </c>
      <c r="K33" s="989">
        <v>0</v>
      </c>
      <c r="L33" s="989">
        <f t="shared" si="7"/>
        <v>0</v>
      </c>
      <c r="M33" s="989">
        <f t="shared" si="8"/>
        <v>0</v>
      </c>
      <c r="N33" s="981">
        <f>'Table 5C1A-Madison Prep'!N33</f>
        <v>3252</v>
      </c>
      <c r="O33" s="983">
        <f t="shared" si="9"/>
        <v>0</v>
      </c>
      <c r="P33" s="1029">
        <f t="shared" si="10"/>
        <v>0</v>
      </c>
      <c r="Q33" s="983">
        <f t="shared" si="11"/>
        <v>0</v>
      </c>
      <c r="R33" s="983">
        <v>0</v>
      </c>
      <c r="S33" s="983">
        <f t="shared" si="12"/>
        <v>0</v>
      </c>
      <c r="T33" s="983">
        <f t="shared" si="13"/>
        <v>0</v>
      </c>
      <c r="U33" s="984">
        <f t="shared" si="14"/>
        <v>0</v>
      </c>
      <c r="V33" s="984">
        <f t="shared" si="14"/>
        <v>0</v>
      </c>
    </row>
    <row r="34" spans="1:22">
      <c r="A34" s="960">
        <v>28</v>
      </c>
      <c r="B34" s="961" t="s">
        <v>120</v>
      </c>
      <c r="C34" s="1081">
        <f>'2-1-13 SIS'!H34</f>
        <v>0</v>
      </c>
      <c r="D34" s="966">
        <f>'Table 3 Levels 1&amp;2'!AL35</f>
        <v>3163.1694438483169</v>
      </c>
      <c r="E34" s="1013">
        <f t="shared" si="2"/>
        <v>0</v>
      </c>
      <c r="F34" s="1013">
        <f>'Table 4 Level 3'!P33</f>
        <v>694.4</v>
      </c>
      <c r="G34" s="1013">
        <f t="shared" si="3"/>
        <v>0</v>
      </c>
      <c r="H34" s="989">
        <f t="shared" si="4"/>
        <v>0</v>
      </c>
      <c r="I34" s="1023">
        <f t="shared" si="5"/>
        <v>0</v>
      </c>
      <c r="J34" s="989">
        <f t="shared" si="6"/>
        <v>0</v>
      </c>
      <c r="K34" s="989">
        <v>0</v>
      </c>
      <c r="L34" s="989">
        <f t="shared" si="7"/>
        <v>0</v>
      </c>
      <c r="M34" s="989">
        <f t="shared" si="8"/>
        <v>0</v>
      </c>
      <c r="N34" s="981">
        <f>'Table 5C1A-Madison Prep'!N34</f>
        <v>5361</v>
      </c>
      <c r="O34" s="983">
        <f t="shared" si="9"/>
        <v>0</v>
      </c>
      <c r="P34" s="1029">
        <f t="shared" si="10"/>
        <v>0</v>
      </c>
      <c r="Q34" s="983">
        <f t="shared" si="11"/>
        <v>0</v>
      </c>
      <c r="R34" s="983">
        <v>0</v>
      </c>
      <c r="S34" s="983">
        <f t="shared" si="12"/>
        <v>0</v>
      </c>
      <c r="T34" s="983">
        <f t="shared" si="13"/>
        <v>0</v>
      </c>
      <c r="U34" s="984">
        <f t="shared" si="14"/>
        <v>0</v>
      </c>
      <c r="V34" s="984">
        <f t="shared" si="14"/>
        <v>0</v>
      </c>
    </row>
    <row r="35" spans="1:22">
      <c r="A35" s="960">
        <v>29</v>
      </c>
      <c r="B35" s="961" t="s">
        <v>121</v>
      </c>
      <c r="C35" s="1081">
        <f>'2-1-13 SIS'!H35</f>
        <v>0</v>
      </c>
      <c r="D35" s="966">
        <f>'Table 3 Levels 1&amp;2'!AL36</f>
        <v>3952.5586133052648</v>
      </c>
      <c r="E35" s="1013">
        <f t="shared" si="2"/>
        <v>0</v>
      </c>
      <c r="F35" s="1013">
        <f>'Table 4 Level 3'!P34</f>
        <v>754.94999999999993</v>
      </c>
      <c r="G35" s="1013">
        <f t="shared" si="3"/>
        <v>0</v>
      </c>
      <c r="H35" s="989">
        <f t="shared" si="4"/>
        <v>0</v>
      </c>
      <c r="I35" s="1023">
        <f t="shared" si="5"/>
        <v>0</v>
      </c>
      <c r="J35" s="989">
        <f t="shared" si="6"/>
        <v>0</v>
      </c>
      <c r="K35" s="989">
        <v>0</v>
      </c>
      <c r="L35" s="989">
        <f t="shared" si="7"/>
        <v>0</v>
      </c>
      <c r="M35" s="989">
        <f t="shared" si="8"/>
        <v>0</v>
      </c>
      <c r="N35" s="981">
        <f>'Table 5C1A-Madison Prep'!N35</f>
        <v>4763</v>
      </c>
      <c r="O35" s="983">
        <f t="shared" si="9"/>
        <v>0</v>
      </c>
      <c r="P35" s="1029">
        <f t="shared" si="10"/>
        <v>0</v>
      </c>
      <c r="Q35" s="983">
        <f t="shared" si="11"/>
        <v>0</v>
      </c>
      <c r="R35" s="983">
        <v>0</v>
      </c>
      <c r="S35" s="983">
        <f t="shared" si="12"/>
        <v>0</v>
      </c>
      <c r="T35" s="983">
        <f t="shared" si="13"/>
        <v>0</v>
      </c>
      <c r="U35" s="984">
        <f t="shared" si="14"/>
        <v>0</v>
      </c>
      <c r="V35" s="984">
        <f t="shared" si="14"/>
        <v>0</v>
      </c>
    </row>
    <row r="36" spans="1:22">
      <c r="A36" s="963">
        <v>30</v>
      </c>
      <c r="B36" s="964" t="s">
        <v>122</v>
      </c>
      <c r="C36" s="1082">
        <f>'2-1-13 SIS'!H36</f>
        <v>0</v>
      </c>
      <c r="D36" s="967">
        <f>'Table 3 Levels 1&amp;2'!AL37</f>
        <v>5648.6510465852989</v>
      </c>
      <c r="E36" s="1014">
        <f t="shared" si="2"/>
        <v>0</v>
      </c>
      <c r="F36" s="1014">
        <f>'Table 4 Level 3'!P35</f>
        <v>727.17</v>
      </c>
      <c r="G36" s="1014">
        <f t="shared" si="3"/>
        <v>0</v>
      </c>
      <c r="H36" s="990">
        <f t="shared" si="4"/>
        <v>0</v>
      </c>
      <c r="I36" s="1024">
        <f t="shared" si="5"/>
        <v>0</v>
      </c>
      <c r="J36" s="990">
        <f t="shared" si="6"/>
        <v>0</v>
      </c>
      <c r="K36" s="990">
        <v>0</v>
      </c>
      <c r="L36" s="990">
        <f t="shared" si="7"/>
        <v>0</v>
      </c>
      <c r="M36" s="990">
        <f t="shared" si="8"/>
        <v>0</v>
      </c>
      <c r="N36" s="986">
        <f>'Table 5C1A-Madison Prep'!N36</f>
        <v>3236</v>
      </c>
      <c r="O36" s="987">
        <f t="shared" si="9"/>
        <v>0</v>
      </c>
      <c r="P36" s="1030">
        <f t="shared" si="10"/>
        <v>0</v>
      </c>
      <c r="Q36" s="987">
        <f t="shared" si="11"/>
        <v>0</v>
      </c>
      <c r="R36" s="987">
        <v>0</v>
      </c>
      <c r="S36" s="987">
        <f t="shared" si="12"/>
        <v>0</v>
      </c>
      <c r="T36" s="987">
        <f t="shared" si="13"/>
        <v>0</v>
      </c>
      <c r="U36" s="988">
        <f t="shared" si="14"/>
        <v>0</v>
      </c>
      <c r="V36" s="988">
        <f t="shared" si="14"/>
        <v>0</v>
      </c>
    </row>
    <row r="37" spans="1:22">
      <c r="A37" s="953">
        <v>31</v>
      </c>
      <c r="B37" s="954" t="s">
        <v>123</v>
      </c>
      <c r="C37" s="1083">
        <f>'2-1-13 SIS'!H37</f>
        <v>8</v>
      </c>
      <c r="D37" s="968">
        <f>'Table 3 Levels 1&amp;2'!AL38</f>
        <v>4348.9307899232972</v>
      </c>
      <c r="E37" s="1015">
        <f t="shared" si="2"/>
        <v>34791.446319386378</v>
      </c>
      <c r="F37" s="1015">
        <f>'Table 4 Level 3'!P36</f>
        <v>620.83000000000004</v>
      </c>
      <c r="G37" s="1015">
        <f t="shared" si="3"/>
        <v>4966.6400000000003</v>
      </c>
      <c r="H37" s="991">
        <f t="shared" si="4"/>
        <v>39758.086319386377</v>
      </c>
      <c r="I37" s="1025">
        <f t="shared" si="5"/>
        <v>-99.395215798465941</v>
      </c>
      <c r="J37" s="991">
        <f t="shared" si="6"/>
        <v>39658.691103587909</v>
      </c>
      <c r="K37" s="991">
        <v>0</v>
      </c>
      <c r="L37" s="991">
        <f t="shared" si="7"/>
        <v>39658.691103587909</v>
      </c>
      <c r="M37" s="991">
        <f t="shared" si="8"/>
        <v>3304.8909252989924</v>
      </c>
      <c r="N37" s="981">
        <f>'Table 5C1A-Madison Prep'!N37</f>
        <v>4795</v>
      </c>
      <c r="O37" s="958">
        <f t="shared" si="9"/>
        <v>38360</v>
      </c>
      <c r="P37" s="1028">
        <f t="shared" si="10"/>
        <v>-95.9</v>
      </c>
      <c r="Q37" s="958">
        <f t="shared" si="11"/>
        <v>38264.1</v>
      </c>
      <c r="R37" s="958">
        <v>0</v>
      </c>
      <c r="S37" s="958">
        <f t="shared" si="12"/>
        <v>38264.1</v>
      </c>
      <c r="T37" s="958">
        <f t="shared" si="13"/>
        <v>3188.6749999999997</v>
      </c>
      <c r="U37" s="959">
        <f t="shared" si="14"/>
        <v>77922.791103587908</v>
      </c>
      <c r="V37" s="959">
        <f t="shared" si="14"/>
        <v>6493.5659252989917</v>
      </c>
    </row>
    <row r="38" spans="1:22">
      <c r="A38" s="960">
        <v>32</v>
      </c>
      <c r="B38" s="961" t="s">
        <v>124</v>
      </c>
      <c r="C38" s="1081">
        <f>'2-1-13 SIS'!H38</f>
        <v>0</v>
      </c>
      <c r="D38" s="966">
        <f>'Table 3 Levels 1&amp;2'!AL39</f>
        <v>5531.5157655456787</v>
      </c>
      <c r="E38" s="1013">
        <f t="shared" si="2"/>
        <v>0</v>
      </c>
      <c r="F38" s="1013">
        <f>'Table 4 Level 3'!P37</f>
        <v>559.77</v>
      </c>
      <c r="G38" s="1013">
        <f t="shared" si="3"/>
        <v>0</v>
      </c>
      <c r="H38" s="989">
        <f t="shared" si="4"/>
        <v>0</v>
      </c>
      <c r="I38" s="1023">
        <f t="shared" si="5"/>
        <v>0</v>
      </c>
      <c r="J38" s="989">
        <f t="shared" si="6"/>
        <v>0</v>
      </c>
      <c r="K38" s="989">
        <v>0</v>
      </c>
      <c r="L38" s="989">
        <f t="shared" si="7"/>
        <v>0</v>
      </c>
      <c r="M38" s="989">
        <f t="shared" si="8"/>
        <v>0</v>
      </c>
      <c r="N38" s="981">
        <f>'Table 5C1A-Madison Prep'!N38</f>
        <v>2109</v>
      </c>
      <c r="O38" s="983">
        <f t="shared" si="9"/>
        <v>0</v>
      </c>
      <c r="P38" s="1029">
        <f t="shared" si="10"/>
        <v>0</v>
      </c>
      <c r="Q38" s="983">
        <f t="shared" si="11"/>
        <v>0</v>
      </c>
      <c r="R38" s="983">
        <v>0</v>
      </c>
      <c r="S38" s="983">
        <f t="shared" si="12"/>
        <v>0</v>
      </c>
      <c r="T38" s="983">
        <f t="shared" si="13"/>
        <v>0</v>
      </c>
      <c r="U38" s="984">
        <f t="shared" si="14"/>
        <v>0</v>
      </c>
      <c r="V38" s="984">
        <f t="shared" si="14"/>
        <v>0</v>
      </c>
    </row>
    <row r="39" spans="1:22">
      <c r="A39" s="960">
        <v>33</v>
      </c>
      <c r="B39" s="961" t="s">
        <v>125</v>
      </c>
      <c r="C39" s="1081">
        <f>'2-1-13 SIS'!H39</f>
        <v>0</v>
      </c>
      <c r="D39" s="966">
        <f>'Table 3 Levels 1&amp;2'!AL40</f>
        <v>5329.5444226517857</v>
      </c>
      <c r="E39" s="1013">
        <f t="shared" si="2"/>
        <v>0</v>
      </c>
      <c r="F39" s="1013">
        <f>'Table 4 Level 3'!P38</f>
        <v>655.31000000000006</v>
      </c>
      <c r="G39" s="1013">
        <f t="shared" si="3"/>
        <v>0</v>
      </c>
      <c r="H39" s="989">
        <f t="shared" si="4"/>
        <v>0</v>
      </c>
      <c r="I39" s="1023">
        <f t="shared" si="5"/>
        <v>0</v>
      </c>
      <c r="J39" s="989">
        <f t="shared" si="6"/>
        <v>0</v>
      </c>
      <c r="K39" s="989">
        <v>0</v>
      </c>
      <c r="L39" s="989">
        <f t="shared" si="7"/>
        <v>0</v>
      </c>
      <c r="M39" s="989">
        <f t="shared" si="8"/>
        <v>0</v>
      </c>
      <c r="N39" s="981">
        <f>'Table 5C1A-Madison Prep'!N39</f>
        <v>2649</v>
      </c>
      <c r="O39" s="983">
        <f t="shared" si="9"/>
        <v>0</v>
      </c>
      <c r="P39" s="1029">
        <f t="shared" si="10"/>
        <v>0</v>
      </c>
      <c r="Q39" s="983">
        <f t="shared" si="11"/>
        <v>0</v>
      </c>
      <c r="R39" s="983">
        <v>0</v>
      </c>
      <c r="S39" s="983">
        <f t="shared" si="12"/>
        <v>0</v>
      </c>
      <c r="T39" s="983">
        <f t="shared" si="13"/>
        <v>0</v>
      </c>
      <c r="U39" s="984">
        <f t="shared" si="14"/>
        <v>0</v>
      </c>
      <c r="V39" s="984">
        <f t="shared" si="14"/>
        <v>0</v>
      </c>
    </row>
    <row r="40" spans="1:22">
      <c r="A40" s="960">
        <v>34</v>
      </c>
      <c r="B40" s="961" t="s">
        <v>126</v>
      </c>
      <c r="C40" s="1081">
        <f>'2-1-13 SIS'!H40</f>
        <v>0</v>
      </c>
      <c r="D40" s="966">
        <f>'Table 3 Levels 1&amp;2'!AL41</f>
        <v>6003.632932007491</v>
      </c>
      <c r="E40" s="1013">
        <f t="shared" si="2"/>
        <v>0</v>
      </c>
      <c r="F40" s="1013">
        <f>'Table 4 Level 3'!P39</f>
        <v>644.11000000000013</v>
      </c>
      <c r="G40" s="1013">
        <f t="shared" si="3"/>
        <v>0</v>
      </c>
      <c r="H40" s="989">
        <f t="shared" si="4"/>
        <v>0</v>
      </c>
      <c r="I40" s="1023">
        <f t="shared" si="5"/>
        <v>0</v>
      </c>
      <c r="J40" s="989">
        <f t="shared" si="6"/>
        <v>0</v>
      </c>
      <c r="K40" s="989">
        <v>0</v>
      </c>
      <c r="L40" s="989">
        <f t="shared" si="7"/>
        <v>0</v>
      </c>
      <c r="M40" s="989">
        <f t="shared" si="8"/>
        <v>0</v>
      </c>
      <c r="N40" s="981">
        <f>'Table 5C1A-Madison Prep'!N40</f>
        <v>2817</v>
      </c>
      <c r="O40" s="983">
        <f t="shared" si="9"/>
        <v>0</v>
      </c>
      <c r="P40" s="1029">
        <f t="shared" si="10"/>
        <v>0</v>
      </c>
      <c r="Q40" s="983">
        <f t="shared" si="11"/>
        <v>0</v>
      </c>
      <c r="R40" s="983">
        <v>0</v>
      </c>
      <c r="S40" s="983">
        <f t="shared" si="12"/>
        <v>0</v>
      </c>
      <c r="T40" s="983">
        <f t="shared" si="13"/>
        <v>0</v>
      </c>
      <c r="U40" s="984">
        <f t="shared" si="14"/>
        <v>0</v>
      </c>
      <c r="V40" s="984">
        <f t="shared" si="14"/>
        <v>0</v>
      </c>
    </row>
    <row r="41" spans="1:22">
      <c r="A41" s="963">
        <v>35</v>
      </c>
      <c r="B41" s="964" t="s">
        <v>127</v>
      </c>
      <c r="C41" s="1082">
        <f>'2-1-13 SIS'!H41</f>
        <v>0</v>
      </c>
      <c r="D41" s="967">
        <f>'Table 3 Levels 1&amp;2'!AL42</f>
        <v>4607.1606416222867</v>
      </c>
      <c r="E41" s="1014">
        <f t="shared" si="2"/>
        <v>0</v>
      </c>
      <c r="F41" s="1014">
        <f>'Table 4 Level 3'!P40</f>
        <v>537.96</v>
      </c>
      <c r="G41" s="1014">
        <f t="shared" si="3"/>
        <v>0</v>
      </c>
      <c r="H41" s="990">
        <f t="shared" si="4"/>
        <v>0</v>
      </c>
      <c r="I41" s="1024">
        <f t="shared" si="5"/>
        <v>0</v>
      </c>
      <c r="J41" s="990">
        <f t="shared" si="6"/>
        <v>0</v>
      </c>
      <c r="K41" s="990">
        <v>0</v>
      </c>
      <c r="L41" s="990">
        <f t="shared" si="7"/>
        <v>0</v>
      </c>
      <c r="M41" s="990">
        <f t="shared" si="8"/>
        <v>0</v>
      </c>
      <c r="N41" s="986">
        <f>'Table 5C1A-Madison Prep'!N41</f>
        <v>3298</v>
      </c>
      <c r="O41" s="987">
        <f t="shared" si="9"/>
        <v>0</v>
      </c>
      <c r="P41" s="1030">
        <f t="shared" si="10"/>
        <v>0</v>
      </c>
      <c r="Q41" s="987">
        <f t="shared" si="11"/>
        <v>0</v>
      </c>
      <c r="R41" s="987">
        <v>0</v>
      </c>
      <c r="S41" s="987">
        <f t="shared" si="12"/>
        <v>0</v>
      </c>
      <c r="T41" s="987">
        <f t="shared" si="13"/>
        <v>0</v>
      </c>
      <c r="U41" s="988">
        <f t="shared" si="14"/>
        <v>0</v>
      </c>
      <c r="V41" s="988">
        <f t="shared" si="14"/>
        <v>0</v>
      </c>
    </row>
    <row r="42" spans="1:22">
      <c r="A42" s="953">
        <v>36</v>
      </c>
      <c r="B42" s="954" t="s">
        <v>128</v>
      </c>
      <c r="C42" s="1083">
        <f>'2-1-13 SIS'!H42</f>
        <v>0</v>
      </c>
      <c r="D42" s="968">
        <f>'Table 3 Levels 1&amp;2'!AL43</f>
        <v>3520.4894337711748</v>
      </c>
      <c r="E42" s="1015">
        <f t="shared" si="2"/>
        <v>0</v>
      </c>
      <c r="F42" s="1015">
        <f>'Table 5B1_RSD_Orleans'!F78</f>
        <v>746.0335616438357</v>
      </c>
      <c r="G42" s="1015">
        <f t="shared" si="3"/>
        <v>0</v>
      </c>
      <c r="H42" s="991">
        <f t="shared" si="4"/>
        <v>0</v>
      </c>
      <c r="I42" s="1025">
        <f t="shared" si="5"/>
        <v>0</v>
      </c>
      <c r="J42" s="991">
        <f t="shared" si="6"/>
        <v>0</v>
      </c>
      <c r="K42" s="991">
        <v>0</v>
      </c>
      <c r="L42" s="991">
        <f t="shared" si="7"/>
        <v>0</v>
      </c>
      <c r="M42" s="991">
        <f t="shared" si="8"/>
        <v>0</v>
      </c>
      <c r="N42" s="981">
        <f>'Table 5C1A-Madison Prep'!N42</f>
        <v>5442</v>
      </c>
      <c r="O42" s="958">
        <f t="shared" si="9"/>
        <v>0</v>
      </c>
      <c r="P42" s="1028">
        <f t="shared" si="10"/>
        <v>0</v>
      </c>
      <c r="Q42" s="958">
        <f t="shared" si="11"/>
        <v>0</v>
      </c>
      <c r="R42" s="958">
        <v>0</v>
      </c>
      <c r="S42" s="958">
        <f t="shared" si="12"/>
        <v>0</v>
      </c>
      <c r="T42" s="958">
        <f t="shared" si="13"/>
        <v>0</v>
      </c>
      <c r="U42" s="959">
        <f t="shared" si="14"/>
        <v>0</v>
      </c>
      <c r="V42" s="959">
        <f t="shared" si="14"/>
        <v>0</v>
      </c>
    </row>
    <row r="43" spans="1:22">
      <c r="A43" s="960">
        <v>37</v>
      </c>
      <c r="B43" s="961" t="s">
        <v>129</v>
      </c>
      <c r="C43" s="1081">
        <f>'2-1-13 SIS'!H43</f>
        <v>3</v>
      </c>
      <c r="D43" s="966">
        <f>'Table 3 Levels 1&amp;2'!AL44</f>
        <v>5503.7595641818853</v>
      </c>
      <c r="E43" s="1013">
        <f t="shared" si="2"/>
        <v>16511.278692545657</v>
      </c>
      <c r="F43" s="1013">
        <f>'Table 4 Level 3'!P42</f>
        <v>653.61</v>
      </c>
      <c r="G43" s="1013">
        <f t="shared" si="3"/>
        <v>1960.83</v>
      </c>
      <c r="H43" s="989">
        <f t="shared" si="4"/>
        <v>18472.108692545655</v>
      </c>
      <c r="I43" s="1023">
        <f t="shared" si="5"/>
        <v>-46.180271731364137</v>
      </c>
      <c r="J43" s="989">
        <f t="shared" si="6"/>
        <v>18425.928420814289</v>
      </c>
      <c r="K43" s="989">
        <v>0</v>
      </c>
      <c r="L43" s="989">
        <f t="shared" si="7"/>
        <v>18425.928420814289</v>
      </c>
      <c r="M43" s="989">
        <f t="shared" si="8"/>
        <v>1535.4940350678573</v>
      </c>
      <c r="N43" s="981">
        <f>'Table 5C1A-Madison Prep'!N43</f>
        <v>3227</v>
      </c>
      <c r="O43" s="983">
        <f t="shared" si="9"/>
        <v>9681</v>
      </c>
      <c r="P43" s="1029">
        <f t="shared" si="10"/>
        <v>-24.202500000000001</v>
      </c>
      <c r="Q43" s="983">
        <f t="shared" si="11"/>
        <v>9656.7975000000006</v>
      </c>
      <c r="R43" s="983">
        <v>0</v>
      </c>
      <c r="S43" s="983">
        <f t="shared" si="12"/>
        <v>9656.7975000000006</v>
      </c>
      <c r="T43" s="983">
        <f t="shared" si="13"/>
        <v>804.73312500000009</v>
      </c>
      <c r="U43" s="984">
        <f t="shared" si="14"/>
        <v>28082.72592081429</v>
      </c>
      <c r="V43" s="984">
        <f t="shared" si="14"/>
        <v>2340.2271600678573</v>
      </c>
    </row>
    <row r="44" spans="1:22">
      <c r="A44" s="960">
        <v>38</v>
      </c>
      <c r="B44" s="961" t="s">
        <v>130</v>
      </c>
      <c r="C44" s="1081">
        <f>'2-1-13 SIS'!H44</f>
        <v>0</v>
      </c>
      <c r="D44" s="966">
        <f>'Table 3 Levels 1&amp;2'!AL45</f>
        <v>2192.7545275590551</v>
      </c>
      <c r="E44" s="1013">
        <f t="shared" si="2"/>
        <v>0</v>
      </c>
      <c r="F44" s="1013">
        <f>'Table 4 Level 3'!P43</f>
        <v>829.92000000000007</v>
      </c>
      <c r="G44" s="1013">
        <f t="shared" si="3"/>
        <v>0</v>
      </c>
      <c r="H44" s="989">
        <f t="shared" si="4"/>
        <v>0</v>
      </c>
      <c r="I44" s="1023">
        <f t="shared" si="5"/>
        <v>0</v>
      </c>
      <c r="J44" s="989">
        <f t="shared" si="6"/>
        <v>0</v>
      </c>
      <c r="K44" s="989">
        <v>0</v>
      </c>
      <c r="L44" s="989">
        <f t="shared" si="7"/>
        <v>0</v>
      </c>
      <c r="M44" s="989">
        <f t="shared" si="8"/>
        <v>0</v>
      </c>
      <c r="N44" s="981">
        <f>'Table 5C1A-Madison Prep'!N44</f>
        <v>10867</v>
      </c>
      <c r="O44" s="983">
        <f t="shared" si="9"/>
        <v>0</v>
      </c>
      <c r="P44" s="1029">
        <f t="shared" si="10"/>
        <v>0</v>
      </c>
      <c r="Q44" s="983">
        <f t="shared" si="11"/>
        <v>0</v>
      </c>
      <c r="R44" s="983">
        <v>0</v>
      </c>
      <c r="S44" s="983">
        <f t="shared" si="12"/>
        <v>0</v>
      </c>
      <c r="T44" s="983">
        <f t="shared" si="13"/>
        <v>0</v>
      </c>
      <c r="U44" s="984">
        <f t="shared" si="14"/>
        <v>0</v>
      </c>
      <c r="V44" s="984">
        <f t="shared" si="14"/>
        <v>0</v>
      </c>
    </row>
    <row r="45" spans="1:22">
      <c r="A45" s="960">
        <v>39</v>
      </c>
      <c r="B45" s="961" t="s">
        <v>131</v>
      </c>
      <c r="C45" s="1081">
        <f>'2-1-13 SIS'!H45</f>
        <v>0</v>
      </c>
      <c r="D45" s="966">
        <f>'Table 3 Levels 1&amp;2'!AL46</f>
        <v>3639.9942778062696</v>
      </c>
      <c r="E45" s="1013">
        <f t="shared" si="2"/>
        <v>0</v>
      </c>
      <c r="F45" s="1013">
        <f>'Table 5B2_RSD_LA'!F21</f>
        <v>779.65573042776441</v>
      </c>
      <c r="G45" s="1013">
        <f t="shared" si="3"/>
        <v>0</v>
      </c>
      <c r="H45" s="989">
        <f t="shared" si="4"/>
        <v>0</v>
      </c>
      <c r="I45" s="1023">
        <f t="shared" si="5"/>
        <v>0</v>
      </c>
      <c r="J45" s="989">
        <f t="shared" si="6"/>
        <v>0</v>
      </c>
      <c r="K45" s="989">
        <v>0</v>
      </c>
      <c r="L45" s="989">
        <f t="shared" si="7"/>
        <v>0</v>
      </c>
      <c r="M45" s="989">
        <f t="shared" si="8"/>
        <v>0</v>
      </c>
      <c r="N45" s="981">
        <f>'Table 5C1A-Madison Prep'!N45</f>
        <v>4324</v>
      </c>
      <c r="O45" s="983">
        <f t="shared" si="9"/>
        <v>0</v>
      </c>
      <c r="P45" s="1029">
        <f t="shared" si="10"/>
        <v>0</v>
      </c>
      <c r="Q45" s="983">
        <f t="shared" si="11"/>
        <v>0</v>
      </c>
      <c r="R45" s="983">
        <v>0</v>
      </c>
      <c r="S45" s="983">
        <f t="shared" si="12"/>
        <v>0</v>
      </c>
      <c r="T45" s="983">
        <f t="shared" si="13"/>
        <v>0</v>
      </c>
      <c r="U45" s="984">
        <f t="shared" si="14"/>
        <v>0</v>
      </c>
      <c r="V45" s="984">
        <f t="shared" si="14"/>
        <v>0</v>
      </c>
    </row>
    <row r="46" spans="1:22">
      <c r="A46" s="963">
        <v>40</v>
      </c>
      <c r="B46" s="964" t="s">
        <v>132</v>
      </c>
      <c r="C46" s="1082">
        <f>'2-1-13 SIS'!H46</f>
        <v>0</v>
      </c>
      <c r="D46" s="967">
        <f>'Table 3 Levels 1&amp;2'!AL47</f>
        <v>4928.4974462701202</v>
      </c>
      <c r="E46" s="1014">
        <f t="shared" si="2"/>
        <v>0</v>
      </c>
      <c r="F46" s="1014">
        <f>'Table 4 Level 3'!P45</f>
        <v>700.2700000000001</v>
      </c>
      <c r="G46" s="1014">
        <f t="shared" si="3"/>
        <v>0</v>
      </c>
      <c r="H46" s="990">
        <f t="shared" si="4"/>
        <v>0</v>
      </c>
      <c r="I46" s="1024">
        <f t="shared" si="5"/>
        <v>0</v>
      </c>
      <c r="J46" s="990">
        <f t="shared" si="6"/>
        <v>0</v>
      </c>
      <c r="K46" s="990">
        <v>0</v>
      </c>
      <c r="L46" s="990">
        <f t="shared" si="7"/>
        <v>0</v>
      </c>
      <c r="M46" s="990">
        <f t="shared" si="8"/>
        <v>0</v>
      </c>
      <c r="N46" s="986">
        <f>'Table 5C1A-Madison Prep'!N46</f>
        <v>3007</v>
      </c>
      <c r="O46" s="987">
        <f t="shared" si="9"/>
        <v>0</v>
      </c>
      <c r="P46" s="1030">
        <f t="shared" si="10"/>
        <v>0</v>
      </c>
      <c r="Q46" s="987">
        <f t="shared" si="11"/>
        <v>0</v>
      </c>
      <c r="R46" s="987">
        <v>0</v>
      </c>
      <c r="S46" s="987">
        <f t="shared" si="12"/>
        <v>0</v>
      </c>
      <c r="T46" s="987">
        <f t="shared" si="13"/>
        <v>0</v>
      </c>
      <c r="U46" s="988">
        <f t="shared" si="14"/>
        <v>0</v>
      </c>
      <c r="V46" s="988">
        <f t="shared" si="14"/>
        <v>0</v>
      </c>
    </row>
    <row r="47" spans="1:22">
      <c r="A47" s="953">
        <v>41</v>
      </c>
      <c r="B47" s="954" t="s">
        <v>133</v>
      </c>
      <c r="C47" s="1083">
        <f>'2-1-13 SIS'!H47</f>
        <v>0</v>
      </c>
      <c r="D47" s="968">
        <f>'Table 3 Levels 1&amp;2'!AL48</f>
        <v>1615.6013465627216</v>
      </c>
      <c r="E47" s="1015">
        <f t="shared" si="2"/>
        <v>0</v>
      </c>
      <c r="F47" s="1015">
        <f>'Table 4 Level 3'!P46</f>
        <v>886.22</v>
      </c>
      <c r="G47" s="1015">
        <f t="shared" si="3"/>
        <v>0</v>
      </c>
      <c r="H47" s="991">
        <f t="shared" si="4"/>
        <v>0</v>
      </c>
      <c r="I47" s="1025">
        <f t="shared" si="5"/>
        <v>0</v>
      </c>
      <c r="J47" s="991">
        <f t="shared" si="6"/>
        <v>0</v>
      </c>
      <c r="K47" s="991">
        <v>0</v>
      </c>
      <c r="L47" s="991">
        <f t="shared" si="7"/>
        <v>0</v>
      </c>
      <c r="M47" s="991">
        <f t="shared" si="8"/>
        <v>0</v>
      </c>
      <c r="N47" s="981">
        <f>'Table 5C1A-Madison Prep'!N47</f>
        <v>9087</v>
      </c>
      <c r="O47" s="958">
        <f t="shared" si="9"/>
        <v>0</v>
      </c>
      <c r="P47" s="1028">
        <f t="shared" si="10"/>
        <v>0</v>
      </c>
      <c r="Q47" s="958">
        <f t="shared" si="11"/>
        <v>0</v>
      </c>
      <c r="R47" s="958">
        <v>0</v>
      </c>
      <c r="S47" s="958">
        <f t="shared" si="12"/>
        <v>0</v>
      </c>
      <c r="T47" s="958">
        <f t="shared" si="13"/>
        <v>0</v>
      </c>
      <c r="U47" s="959">
        <f t="shared" si="14"/>
        <v>0</v>
      </c>
      <c r="V47" s="959">
        <f t="shared" si="14"/>
        <v>0</v>
      </c>
    </row>
    <row r="48" spans="1:22">
      <c r="A48" s="960">
        <v>42</v>
      </c>
      <c r="B48" s="961" t="s">
        <v>134</v>
      </c>
      <c r="C48" s="1081">
        <f>'2-1-13 SIS'!H48</f>
        <v>0</v>
      </c>
      <c r="D48" s="966">
        <f>'Table 3 Levels 1&amp;2'!AL49</f>
        <v>5087.4730460987803</v>
      </c>
      <c r="E48" s="1013">
        <f t="shared" si="2"/>
        <v>0</v>
      </c>
      <c r="F48" s="1013">
        <f>'Table 4 Level 3'!P47</f>
        <v>534.28</v>
      </c>
      <c r="G48" s="1013">
        <f t="shared" si="3"/>
        <v>0</v>
      </c>
      <c r="H48" s="989">
        <f t="shared" si="4"/>
        <v>0</v>
      </c>
      <c r="I48" s="1023">
        <f t="shared" si="5"/>
        <v>0</v>
      </c>
      <c r="J48" s="989">
        <f t="shared" si="6"/>
        <v>0</v>
      </c>
      <c r="K48" s="989">
        <v>0</v>
      </c>
      <c r="L48" s="989">
        <f t="shared" si="7"/>
        <v>0</v>
      </c>
      <c r="M48" s="989">
        <f t="shared" si="8"/>
        <v>0</v>
      </c>
      <c r="N48" s="981">
        <f>'Table 5C1A-Madison Prep'!N48</f>
        <v>2867</v>
      </c>
      <c r="O48" s="983">
        <f t="shared" si="9"/>
        <v>0</v>
      </c>
      <c r="P48" s="1029">
        <f t="shared" si="10"/>
        <v>0</v>
      </c>
      <c r="Q48" s="983">
        <f t="shared" si="11"/>
        <v>0</v>
      </c>
      <c r="R48" s="983">
        <v>0</v>
      </c>
      <c r="S48" s="983">
        <f t="shared" si="12"/>
        <v>0</v>
      </c>
      <c r="T48" s="983">
        <f t="shared" si="13"/>
        <v>0</v>
      </c>
      <c r="U48" s="984">
        <f t="shared" si="14"/>
        <v>0</v>
      </c>
      <c r="V48" s="984">
        <f t="shared" si="14"/>
        <v>0</v>
      </c>
    </row>
    <row r="49" spans="1:22">
      <c r="A49" s="960">
        <v>43</v>
      </c>
      <c r="B49" s="961" t="s">
        <v>135</v>
      </c>
      <c r="C49" s="1081">
        <f>'2-1-13 SIS'!H49</f>
        <v>0</v>
      </c>
      <c r="D49" s="966">
        <f>'Table 3 Levels 1&amp;2'!AL50</f>
        <v>4717.8414352725031</v>
      </c>
      <c r="E49" s="1013">
        <f t="shared" si="2"/>
        <v>0</v>
      </c>
      <c r="F49" s="1013">
        <f>'Table 4 Level 3'!P48</f>
        <v>574.6099999999999</v>
      </c>
      <c r="G49" s="1013">
        <f t="shared" si="3"/>
        <v>0</v>
      </c>
      <c r="H49" s="989">
        <f t="shared" si="4"/>
        <v>0</v>
      </c>
      <c r="I49" s="1023">
        <f t="shared" si="5"/>
        <v>0</v>
      </c>
      <c r="J49" s="989">
        <f t="shared" si="6"/>
        <v>0</v>
      </c>
      <c r="K49" s="989">
        <v>0</v>
      </c>
      <c r="L49" s="989">
        <f t="shared" si="7"/>
        <v>0</v>
      </c>
      <c r="M49" s="989">
        <f t="shared" si="8"/>
        <v>0</v>
      </c>
      <c r="N49" s="981">
        <f>'Table 5C1A-Madison Prep'!N49</f>
        <v>3587</v>
      </c>
      <c r="O49" s="983">
        <f t="shared" si="9"/>
        <v>0</v>
      </c>
      <c r="P49" s="1029">
        <f t="shared" si="10"/>
        <v>0</v>
      </c>
      <c r="Q49" s="983">
        <f t="shared" si="11"/>
        <v>0</v>
      </c>
      <c r="R49" s="983">
        <v>0</v>
      </c>
      <c r="S49" s="983">
        <f t="shared" si="12"/>
        <v>0</v>
      </c>
      <c r="T49" s="983">
        <f t="shared" si="13"/>
        <v>0</v>
      </c>
      <c r="U49" s="984">
        <f t="shared" si="14"/>
        <v>0</v>
      </c>
      <c r="V49" s="984">
        <f t="shared" si="14"/>
        <v>0</v>
      </c>
    </row>
    <row r="50" spans="1:22">
      <c r="A50" s="960">
        <v>44</v>
      </c>
      <c r="B50" s="961" t="s">
        <v>136</v>
      </c>
      <c r="C50" s="1081">
        <f>'2-1-13 SIS'!H50</f>
        <v>0</v>
      </c>
      <c r="D50" s="966">
        <f>'Table 3 Levels 1&amp;2'!AL51</f>
        <v>4696.6221228259064</v>
      </c>
      <c r="E50" s="1013">
        <f t="shared" si="2"/>
        <v>0</v>
      </c>
      <c r="F50" s="1013">
        <f>'Table 4 Level 3'!P49</f>
        <v>663.16000000000008</v>
      </c>
      <c r="G50" s="1013">
        <f t="shared" si="3"/>
        <v>0</v>
      </c>
      <c r="H50" s="989">
        <f t="shared" si="4"/>
        <v>0</v>
      </c>
      <c r="I50" s="1023">
        <f t="shared" si="5"/>
        <v>0</v>
      </c>
      <c r="J50" s="989">
        <f t="shared" si="6"/>
        <v>0</v>
      </c>
      <c r="K50" s="989">
        <v>0</v>
      </c>
      <c r="L50" s="989">
        <f t="shared" si="7"/>
        <v>0</v>
      </c>
      <c r="M50" s="989">
        <f t="shared" si="8"/>
        <v>0</v>
      </c>
      <c r="N50" s="981">
        <f>'Table 5C1A-Madison Prep'!N50</f>
        <v>4561</v>
      </c>
      <c r="O50" s="983">
        <f t="shared" si="9"/>
        <v>0</v>
      </c>
      <c r="P50" s="1029">
        <f t="shared" si="10"/>
        <v>0</v>
      </c>
      <c r="Q50" s="983">
        <f t="shared" si="11"/>
        <v>0</v>
      </c>
      <c r="R50" s="983">
        <v>0</v>
      </c>
      <c r="S50" s="983">
        <f t="shared" si="12"/>
        <v>0</v>
      </c>
      <c r="T50" s="983">
        <f t="shared" si="13"/>
        <v>0</v>
      </c>
      <c r="U50" s="984">
        <f t="shared" si="14"/>
        <v>0</v>
      </c>
      <c r="V50" s="984">
        <f t="shared" si="14"/>
        <v>0</v>
      </c>
    </row>
    <row r="51" spans="1:22">
      <c r="A51" s="963">
        <v>45</v>
      </c>
      <c r="B51" s="964" t="s">
        <v>137</v>
      </c>
      <c r="C51" s="1082">
        <f>'2-1-13 SIS'!H51</f>
        <v>0</v>
      </c>
      <c r="D51" s="967">
        <f>'Table 3 Levels 1&amp;2'!AL52</f>
        <v>2192.4914538932262</v>
      </c>
      <c r="E51" s="1014">
        <f t="shared" si="2"/>
        <v>0</v>
      </c>
      <c r="F51" s="1014">
        <f>'Table 4 Level 3'!P50</f>
        <v>753.96000000000015</v>
      </c>
      <c r="G51" s="1014">
        <f t="shared" si="3"/>
        <v>0</v>
      </c>
      <c r="H51" s="990">
        <f t="shared" si="4"/>
        <v>0</v>
      </c>
      <c r="I51" s="1024">
        <f t="shared" si="5"/>
        <v>0</v>
      </c>
      <c r="J51" s="990">
        <f t="shared" si="6"/>
        <v>0</v>
      </c>
      <c r="K51" s="990">
        <v>0</v>
      </c>
      <c r="L51" s="990">
        <f t="shared" si="7"/>
        <v>0</v>
      </c>
      <c r="M51" s="990">
        <f t="shared" si="8"/>
        <v>0</v>
      </c>
      <c r="N51" s="986">
        <f>'Table 5C1A-Madison Prep'!N51</f>
        <v>11287</v>
      </c>
      <c r="O51" s="987">
        <f t="shared" si="9"/>
        <v>0</v>
      </c>
      <c r="P51" s="1030">
        <f t="shared" si="10"/>
        <v>0</v>
      </c>
      <c r="Q51" s="987">
        <f t="shared" si="11"/>
        <v>0</v>
      </c>
      <c r="R51" s="987">
        <v>0</v>
      </c>
      <c r="S51" s="987">
        <f t="shared" si="12"/>
        <v>0</v>
      </c>
      <c r="T51" s="987">
        <f t="shared" si="13"/>
        <v>0</v>
      </c>
      <c r="U51" s="988">
        <f t="shared" si="14"/>
        <v>0</v>
      </c>
      <c r="V51" s="988">
        <f t="shared" si="14"/>
        <v>0</v>
      </c>
    </row>
    <row r="52" spans="1:22">
      <c r="A52" s="953">
        <v>46</v>
      </c>
      <c r="B52" s="954" t="s">
        <v>138</v>
      </c>
      <c r="C52" s="1083">
        <f>'2-1-13 SIS'!H52</f>
        <v>0</v>
      </c>
      <c r="D52" s="968">
        <f>'Table 3 Levels 1&amp;2'!AL53</f>
        <v>5644.6599115241634</v>
      </c>
      <c r="E52" s="1015">
        <f t="shared" si="2"/>
        <v>0</v>
      </c>
      <c r="F52" s="1015">
        <f>'Table 4 Level 3'!P51</f>
        <v>728.06</v>
      </c>
      <c r="G52" s="1015">
        <f t="shared" si="3"/>
        <v>0</v>
      </c>
      <c r="H52" s="991">
        <f t="shared" si="4"/>
        <v>0</v>
      </c>
      <c r="I52" s="1025">
        <f t="shared" si="5"/>
        <v>0</v>
      </c>
      <c r="J52" s="991">
        <f t="shared" si="6"/>
        <v>0</v>
      </c>
      <c r="K52" s="991">
        <v>0</v>
      </c>
      <c r="L52" s="991">
        <f t="shared" si="7"/>
        <v>0</v>
      </c>
      <c r="M52" s="991">
        <f t="shared" si="8"/>
        <v>0</v>
      </c>
      <c r="N52" s="981">
        <f>'Table 5C1A-Madison Prep'!N52</f>
        <v>2150</v>
      </c>
      <c r="O52" s="958">
        <f t="shared" si="9"/>
        <v>0</v>
      </c>
      <c r="P52" s="1028">
        <f t="shared" si="10"/>
        <v>0</v>
      </c>
      <c r="Q52" s="958">
        <f t="shared" si="11"/>
        <v>0</v>
      </c>
      <c r="R52" s="958">
        <v>0</v>
      </c>
      <c r="S52" s="958">
        <f t="shared" si="12"/>
        <v>0</v>
      </c>
      <c r="T52" s="958">
        <f t="shared" si="13"/>
        <v>0</v>
      </c>
      <c r="U52" s="959">
        <f t="shared" si="14"/>
        <v>0</v>
      </c>
      <c r="V52" s="959">
        <f t="shared" si="14"/>
        <v>0</v>
      </c>
    </row>
    <row r="53" spans="1:22">
      <c r="A53" s="960">
        <v>47</v>
      </c>
      <c r="B53" s="961" t="s">
        <v>139</v>
      </c>
      <c r="C53" s="1081">
        <f>'2-1-13 SIS'!H53</f>
        <v>0</v>
      </c>
      <c r="D53" s="966">
        <f>'Table 3 Levels 1&amp;2'!AL54</f>
        <v>2731.2444076222037</v>
      </c>
      <c r="E53" s="1013">
        <f t="shared" si="2"/>
        <v>0</v>
      </c>
      <c r="F53" s="1013">
        <f>'Table 4 Level 3'!P52</f>
        <v>910.76</v>
      </c>
      <c r="G53" s="1013">
        <f t="shared" si="3"/>
        <v>0</v>
      </c>
      <c r="H53" s="989">
        <f t="shared" si="4"/>
        <v>0</v>
      </c>
      <c r="I53" s="1023">
        <f t="shared" si="5"/>
        <v>0</v>
      </c>
      <c r="J53" s="989">
        <f t="shared" si="6"/>
        <v>0</v>
      </c>
      <c r="K53" s="989">
        <v>0</v>
      </c>
      <c r="L53" s="989">
        <f t="shared" si="7"/>
        <v>0</v>
      </c>
      <c r="M53" s="989">
        <f t="shared" si="8"/>
        <v>0</v>
      </c>
      <c r="N53" s="981">
        <f>'Table 5C1A-Madison Prep'!N53</f>
        <v>13280</v>
      </c>
      <c r="O53" s="983">
        <f t="shared" si="9"/>
        <v>0</v>
      </c>
      <c r="P53" s="1029">
        <f t="shared" si="10"/>
        <v>0</v>
      </c>
      <c r="Q53" s="983">
        <f t="shared" si="11"/>
        <v>0</v>
      </c>
      <c r="R53" s="983">
        <v>0</v>
      </c>
      <c r="S53" s="983">
        <f t="shared" si="12"/>
        <v>0</v>
      </c>
      <c r="T53" s="983">
        <f t="shared" si="13"/>
        <v>0</v>
      </c>
      <c r="U53" s="984">
        <f t="shared" si="14"/>
        <v>0</v>
      </c>
      <c r="V53" s="984">
        <f t="shared" si="14"/>
        <v>0</v>
      </c>
    </row>
    <row r="54" spans="1:22">
      <c r="A54" s="960">
        <v>48</v>
      </c>
      <c r="B54" s="961" t="s">
        <v>197</v>
      </c>
      <c r="C54" s="1081">
        <f>'2-1-13 SIS'!H54</f>
        <v>0</v>
      </c>
      <c r="D54" s="966">
        <f>'Table 3 Levels 1&amp;2'!AL55</f>
        <v>4272.723323083942</v>
      </c>
      <c r="E54" s="1013">
        <f t="shared" si="2"/>
        <v>0</v>
      </c>
      <c r="F54" s="1013">
        <f>'Table 4 Level 3'!P53</f>
        <v>871.07</v>
      </c>
      <c r="G54" s="1013">
        <f t="shared" si="3"/>
        <v>0</v>
      </c>
      <c r="H54" s="989">
        <f t="shared" si="4"/>
        <v>0</v>
      </c>
      <c r="I54" s="1023">
        <f t="shared" si="5"/>
        <v>0</v>
      </c>
      <c r="J54" s="989">
        <f t="shared" si="6"/>
        <v>0</v>
      </c>
      <c r="K54" s="989">
        <v>0</v>
      </c>
      <c r="L54" s="989">
        <f t="shared" si="7"/>
        <v>0</v>
      </c>
      <c r="M54" s="989">
        <f t="shared" si="8"/>
        <v>0</v>
      </c>
      <c r="N54" s="981">
        <f>'Table 5C1A-Madison Prep'!N54</f>
        <v>6453</v>
      </c>
      <c r="O54" s="983">
        <f t="shared" si="9"/>
        <v>0</v>
      </c>
      <c r="P54" s="1029">
        <f t="shared" si="10"/>
        <v>0</v>
      </c>
      <c r="Q54" s="983">
        <f t="shared" si="11"/>
        <v>0</v>
      </c>
      <c r="R54" s="983">
        <v>0</v>
      </c>
      <c r="S54" s="983">
        <f t="shared" si="12"/>
        <v>0</v>
      </c>
      <c r="T54" s="983">
        <f t="shared" si="13"/>
        <v>0</v>
      </c>
      <c r="U54" s="984">
        <f t="shared" si="14"/>
        <v>0</v>
      </c>
      <c r="V54" s="984">
        <f t="shared" si="14"/>
        <v>0</v>
      </c>
    </row>
    <row r="55" spans="1:22">
      <c r="A55" s="960">
        <v>49</v>
      </c>
      <c r="B55" s="961" t="s">
        <v>140</v>
      </c>
      <c r="C55" s="1081">
        <f>'2-1-13 SIS'!H55</f>
        <v>0</v>
      </c>
      <c r="D55" s="966">
        <f>'Table 3 Levels 1&amp;2'!AL56</f>
        <v>4836.7092570332552</v>
      </c>
      <c r="E55" s="1013">
        <f t="shared" si="2"/>
        <v>0</v>
      </c>
      <c r="F55" s="1013">
        <f>'Table 4 Level 3'!P54</f>
        <v>574.43999999999994</v>
      </c>
      <c r="G55" s="1013">
        <f t="shared" si="3"/>
        <v>0</v>
      </c>
      <c r="H55" s="989">
        <f t="shared" si="4"/>
        <v>0</v>
      </c>
      <c r="I55" s="1023">
        <f t="shared" si="5"/>
        <v>0</v>
      </c>
      <c r="J55" s="989">
        <f t="shared" si="6"/>
        <v>0</v>
      </c>
      <c r="K55" s="989">
        <v>0</v>
      </c>
      <c r="L55" s="989">
        <f t="shared" si="7"/>
        <v>0</v>
      </c>
      <c r="M55" s="989">
        <f t="shared" si="8"/>
        <v>0</v>
      </c>
      <c r="N55" s="981">
        <f>'Table 5C1A-Madison Prep'!N55</f>
        <v>2287</v>
      </c>
      <c r="O55" s="983">
        <f t="shared" si="9"/>
        <v>0</v>
      </c>
      <c r="P55" s="1029">
        <f t="shared" si="10"/>
        <v>0</v>
      </c>
      <c r="Q55" s="983">
        <f t="shared" si="11"/>
        <v>0</v>
      </c>
      <c r="R55" s="983">
        <v>0</v>
      </c>
      <c r="S55" s="983">
        <f t="shared" si="12"/>
        <v>0</v>
      </c>
      <c r="T55" s="983">
        <f t="shared" si="13"/>
        <v>0</v>
      </c>
      <c r="U55" s="984">
        <f t="shared" si="14"/>
        <v>0</v>
      </c>
      <c r="V55" s="984">
        <f t="shared" si="14"/>
        <v>0</v>
      </c>
    </row>
    <row r="56" spans="1:22">
      <c r="A56" s="963">
        <v>50</v>
      </c>
      <c r="B56" s="964" t="s">
        <v>141</v>
      </c>
      <c r="C56" s="1082">
        <f>'2-1-13 SIS'!H56</f>
        <v>0</v>
      </c>
      <c r="D56" s="967">
        <f>'Table 3 Levels 1&amp;2'!AL57</f>
        <v>5032.6862895017111</v>
      </c>
      <c r="E56" s="1014">
        <f t="shared" si="2"/>
        <v>0</v>
      </c>
      <c r="F56" s="1014">
        <f>'Table 4 Level 3'!P55</f>
        <v>634.46</v>
      </c>
      <c r="G56" s="1014">
        <f t="shared" si="3"/>
        <v>0</v>
      </c>
      <c r="H56" s="990">
        <f t="shared" si="4"/>
        <v>0</v>
      </c>
      <c r="I56" s="1024">
        <f t="shared" si="5"/>
        <v>0</v>
      </c>
      <c r="J56" s="990">
        <f t="shared" si="6"/>
        <v>0</v>
      </c>
      <c r="K56" s="990">
        <v>0</v>
      </c>
      <c r="L56" s="990">
        <f t="shared" si="7"/>
        <v>0</v>
      </c>
      <c r="M56" s="990">
        <f t="shared" si="8"/>
        <v>0</v>
      </c>
      <c r="N56" s="986">
        <f>'Table 5C1A-Madison Prep'!N56</f>
        <v>2801</v>
      </c>
      <c r="O56" s="987">
        <f t="shared" si="9"/>
        <v>0</v>
      </c>
      <c r="P56" s="1030">
        <f t="shared" si="10"/>
        <v>0</v>
      </c>
      <c r="Q56" s="987">
        <f t="shared" si="11"/>
        <v>0</v>
      </c>
      <c r="R56" s="987">
        <v>0</v>
      </c>
      <c r="S56" s="987">
        <f t="shared" si="12"/>
        <v>0</v>
      </c>
      <c r="T56" s="987">
        <f t="shared" si="13"/>
        <v>0</v>
      </c>
      <c r="U56" s="988">
        <f t="shared" si="14"/>
        <v>0</v>
      </c>
      <c r="V56" s="988">
        <f t="shared" si="14"/>
        <v>0</v>
      </c>
    </row>
    <row r="57" spans="1:22">
      <c r="A57" s="953">
        <v>51</v>
      </c>
      <c r="B57" s="954" t="s">
        <v>142</v>
      </c>
      <c r="C57" s="1083">
        <f>'2-1-13 SIS'!H57</f>
        <v>0</v>
      </c>
      <c r="D57" s="968">
        <f>'Table 3 Levels 1&amp;2'!AL58</f>
        <v>4246.0339872793602</v>
      </c>
      <c r="E57" s="1015">
        <f t="shared" si="2"/>
        <v>0</v>
      </c>
      <c r="F57" s="1015">
        <f>'Table 4 Level 3'!P56</f>
        <v>706.66</v>
      </c>
      <c r="G57" s="1015">
        <f t="shared" si="3"/>
        <v>0</v>
      </c>
      <c r="H57" s="991">
        <f t="shared" si="4"/>
        <v>0</v>
      </c>
      <c r="I57" s="1025">
        <f t="shared" si="5"/>
        <v>0</v>
      </c>
      <c r="J57" s="991">
        <f t="shared" si="6"/>
        <v>0</v>
      </c>
      <c r="K57" s="991">
        <v>0</v>
      </c>
      <c r="L57" s="991">
        <f t="shared" si="7"/>
        <v>0</v>
      </c>
      <c r="M57" s="991">
        <f t="shared" si="8"/>
        <v>0</v>
      </c>
      <c r="N57" s="981">
        <f>'Table 5C1A-Madison Prep'!N57</f>
        <v>4215</v>
      </c>
      <c r="O57" s="958">
        <f t="shared" si="9"/>
        <v>0</v>
      </c>
      <c r="P57" s="1028">
        <f t="shared" si="10"/>
        <v>0</v>
      </c>
      <c r="Q57" s="958">
        <f t="shared" si="11"/>
        <v>0</v>
      </c>
      <c r="R57" s="958">
        <v>0</v>
      </c>
      <c r="S57" s="958">
        <f t="shared" si="12"/>
        <v>0</v>
      </c>
      <c r="T57" s="958">
        <f t="shared" si="13"/>
        <v>0</v>
      </c>
      <c r="U57" s="959">
        <f t="shared" si="14"/>
        <v>0</v>
      </c>
      <c r="V57" s="959">
        <f t="shared" si="14"/>
        <v>0</v>
      </c>
    </row>
    <row r="58" spans="1:22">
      <c r="A58" s="960">
        <v>52</v>
      </c>
      <c r="B58" s="961" t="s">
        <v>143</v>
      </c>
      <c r="C58" s="1081">
        <f>'2-1-13 SIS'!H58</f>
        <v>0</v>
      </c>
      <c r="D58" s="966">
        <f>'Table 3 Levels 1&amp;2'!AL59</f>
        <v>5013.4438050113249</v>
      </c>
      <c r="E58" s="1013">
        <f t="shared" si="2"/>
        <v>0</v>
      </c>
      <c r="F58" s="1013">
        <f>'Table 4 Level 3'!P57</f>
        <v>658.37</v>
      </c>
      <c r="G58" s="1013">
        <f t="shared" si="3"/>
        <v>0</v>
      </c>
      <c r="H58" s="989">
        <f t="shared" si="4"/>
        <v>0</v>
      </c>
      <c r="I58" s="1023">
        <f t="shared" si="5"/>
        <v>0</v>
      </c>
      <c r="J58" s="989">
        <f t="shared" si="6"/>
        <v>0</v>
      </c>
      <c r="K58" s="989">
        <v>0</v>
      </c>
      <c r="L58" s="989">
        <f t="shared" si="7"/>
        <v>0</v>
      </c>
      <c r="M58" s="989">
        <f t="shared" si="8"/>
        <v>0</v>
      </c>
      <c r="N58" s="981">
        <f>'Table 5C1A-Madison Prep'!N58</f>
        <v>4889</v>
      </c>
      <c r="O58" s="983">
        <f t="shared" si="9"/>
        <v>0</v>
      </c>
      <c r="P58" s="1029">
        <f t="shared" si="10"/>
        <v>0</v>
      </c>
      <c r="Q58" s="983">
        <f t="shared" si="11"/>
        <v>0</v>
      </c>
      <c r="R58" s="983">
        <v>0</v>
      </c>
      <c r="S58" s="983">
        <f t="shared" si="12"/>
        <v>0</v>
      </c>
      <c r="T58" s="983">
        <f t="shared" si="13"/>
        <v>0</v>
      </c>
      <c r="U58" s="984">
        <f t="shared" si="14"/>
        <v>0</v>
      </c>
      <c r="V58" s="984">
        <f t="shared" si="14"/>
        <v>0</v>
      </c>
    </row>
    <row r="59" spans="1:22">
      <c r="A59" s="960">
        <v>53</v>
      </c>
      <c r="B59" s="961" t="s">
        <v>144</v>
      </c>
      <c r="C59" s="1081">
        <f>'2-1-13 SIS'!H59</f>
        <v>0</v>
      </c>
      <c r="D59" s="966">
        <f>'Table 3 Levels 1&amp;2'!AL60</f>
        <v>4775.5877635581091</v>
      </c>
      <c r="E59" s="1013">
        <f t="shared" si="2"/>
        <v>0</v>
      </c>
      <c r="F59" s="1013">
        <f>'Table 4 Level 3'!P58</f>
        <v>689.74</v>
      </c>
      <c r="G59" s="1013">
        <f t="shared" si="3"/>
        <v>0</v>
      </c>
      <c r="H59" s="989">
        <f t="shared" si="4"/>
        <v>0</v>
      </c>
      <c r="I59" s="1023">
        <f t="shared" si="5"/>
        <v>0</v>
      </c>
      <c r="J59" s="989">
        <f t="shared" si="6"/>
        <v>0</v>
      </c>
      <c r="K59" s="989">
        <v>0</v>
      </c>
      <c r="L59" s="989">
        <f t="shared" si="7"/>
        <v>0</v>
      </c>
      <c r="M59" s="989">
        <f t="shared" si="8"/>
        <v>0</v>
      </c>
      <c r="N59" s="981">
        <f>'Table 5C1A-Madison Prep'!N59</f>
        <v>2119</v>
      </c>
      <c r="O59" s="983">
        <f t="shared" si="9"/>
        <v>0</v>
      </c>
      <c r="P59" s="1029">
        <f t="shared" si="10"/>
        <v>0</v>
      </c>
      <c r="Q59" s="983">
        <f t="shared" si="11"/>
        <v>0</v>
      </c>
      <c r="R59" s="983">
        <v>0</v>
      </c>
      <c r="S59" s="983">
        <f t="shared" si="12"/>
        <v>0</v>
      </c>
      <c r="T59" s="983">
        <f t="shared" si="13"/>
        <v>0</v>
      </c>
      <c r="U59" s="984">
        <f t="shared" si="14"/>
        <v>0</v>
      </c>
      <c r="V59" s="984">
        <f t="shared" si="14"/>
        <v>0</v>
      </c>
    </row>
    <row r="60" spans="1:22">
      <c r="A60" s="960">
        <v>54</v>
      </c>
      <c r="B60" s="961" t="s">
        <v>145</v>
      </c>
      <c r="C60" s="1081">
        <f>'2-1-13 SIS'!H60</f>
        <v>0</v>
      </c>
      <c r="D60" s="966">
        <f>'Table 3 Levels 1&amp;2'!AL61</f>
        <v>5951.8009386275662</v>
      </c>
      <c r="E60" s="1013">
        <f t="shared" si="2"/>
        <v>0</v>
      </c>
      <c r="F60" s="1013">
        <f>'Table 4 Level 3'!P59</f>
        <v>951.45</v>
      </c>
      <c r="G60" s="1013">
        <f t="shared" si="3"/>
        <v>0</v>
      </c>
      <c r="H60" s="989">
        <f t="shared" si="4"/>
        <v>0</v>
      </c>
      <c r="I60" s="1023">
        <f t="shared" si="5"/>
        <v>0</v>
      </c>
      <c r="J60" s="989">
        <f t="shared" si="6"/>
        <v>0</v>
      </c>
      <c r="K60" s="989">
        <v>0</v>
      </c>
      <c r="L60" s="989">
        <f t="shared" si="7"/>
        <v>0</v>
      </c>
      <c r="M60" s="989">
        <f t="shared" si="8"/>
        <v>0</v>
      </c>
      <c r="N60" s="981">
        <f>'Table 5C1A-Madison Prep'!N60</f>
        <v>3690</v>
      </c>
      <c r="O60" s="983">
        <f t="shared" si="9"/>
        <v>0</v>
      </c>
      <c r="P60" s="1029">
        <f t="shared" si="10"/>
        <v>0</v>
      </c>
      <c r="Q60" s="983">
        <f t="shared" si="11"/>
        <v>0</v>
      </c>
      <c r="R60" s="983">
        <v>0</v>
      </c>
      <c r="S60" s="983">
        <f t="shared" si="12"/>
        <v>0</v>
      </c>
      <c r="T60" s="983">
        <f t="shared" si="13"/>
        <v>0</v>
      </c>
      <c r="U60" s="984">
        <f t="shared" si="14"/>
        <v>0</v>
      </c>
      <c r="V60" s="984">
        <f t="shared" si="14"/>
        <v>0</v>
      </c>
    </row>
    <row r="61" spans="1:22">
      <c r="A61" s="963">
        <v>55</v>
      </c>
      <c r="B61" s="964" t="s">
        <v>146</v>
      </c>
      <c r="C61" s="1082">
        <f>'2-1-13 SIS'!H61</f>
        <v>0</v>
      </c>
      <c r="D61" s="967">
        <f>'Table 3 Levels 1&amp;2'!AL62</f>
        <v>4171.0434735233157</v>
      </c>
      <c r="E61" s="1014">
        <f t="shared" si="2"/>
        <v>0</v>
      </c>
      <c r="F61" s="1014">
        <f>'Table 4 Level 3'!P60</f>
        <v>795.14</v>
      </c>
      <c r="G61" s="1014">
        <f t="shared" si="3"/>
        <v>0</v>
      </c>
      <c r="H61" s="990">
        <f t="shared" si="4"/>
        <v>0</v>
      </c>
      <c r="I61" s="1024">
        <f t="shared" si="5"/>
        <v>0</v>
      </c>
      <c r="J61" s="990">
        <f t="shared" si="6"/>
        <v>0</v>
      </c>
      <c r="K61" s="990">
        <v>0</v>
      </c>
      <c r="L61" s="990">
        <f t="shared" si="7"/>
        <v>0</v>
      </c>
      <c r="M61" s="990">
        <f t="shared" si="8"/>
        <v>0</v>
      </c>
      <c r="N61" s="986">
        <f>'Table 5C1A-Madison Prep'!N61</f>
        <v>3157</v>
      </c>
      <c r="O61" s="987">
        <f t="shared" si="9"/>
        <v>0</v>
      </c>
      <c r="P61" s="1030">
        <f t="shared" si="10"/>
        <v>0</v>
      </c>
      <c r="Q61" s="987">
        <f t="shared" si="11"/>
        <v>0</v>
      </c>
      <c r="R61" s="987">
        <v>0</v>
      </c>
      <c r="S61" s="987">
        <f t="shared" si="12"/>
        <v>0</v>
      </c>
      <c r="T61" s="987">
        <f t="shared" si="13"/>
        <v>0</v>
      </c>
      <c r="U61" s="988">
        <f t="shared" si="14"/>
        <v>0</v>
      </c>
      <c r="V61" s="988">
        <f t="shared" si="14"/>
        <v>0</v>
      </c>
    </row>
    <row r="62" spans="1:22">
      <c r="A62" s="953">
        <v>56</v>
      </c>
      <c r="B62" s="954" t="s">
        <v>147</v>
      </c>
      <c r="C62" s="1083">
        <f>'2-1-13 SIS'!H62</f>
        <v>531</v>
      </c>
      <c r="D62" s="968">
        <f>'Table 3 Levels 1&amp;2'!AL63</f>
        <v>4968.593189672727</v>
      </c>
      <c r="E62" s="1015">
        <f t="shared" si="2"/>
        <v>2638322.9837162183</v>
      </c>
      <c r="F62" s="1015">
        <f>'Table 4 Level 3'!P61</f>
        <v>614.66000000000008</v>
      </c>
      <c r="G62" s="1015">
        <f t="shared" si="3"/>
        <v>326384.46000000002</v>
      </c>
      <c r="H62" s="991">
        <f t="shared" si="4"/>
        <v>2964707.4437162182</v>
      </c>
      <c r="I62" s="1025">
        <f t="shared" si="5"/>
        <v>-7411.768609290546</v>
      </c>
      <c r="J62" s="991">
        <f t="shared" si="6"/>
        <v>2957295.6751069278</v>
      </c>
      <c r="K62" s="1116">
        <v>0</v>
      </c>
      <c r="L62" s="991">
        <f t="shared" si="7"/>
        <v>2957295.6751069278</v>
      </c>
      <c r="M62" s="991">
        <f t="shared" si="8"/>
        <v>246441.30625891066</v>
      </c>
      <c r="N62" s="981">
        <f>'Table 5C1A-Madison Prep'!N62</f>
        <v>2779</v>
      </c>
      <c r="O62" s="958">
        <f t="shared" si="9"/>
        <v>1475649</v>
      </c>
      <c r="P62" s="1028">
        <f t="shared" si="10"/>
        <v>-3689.1224999999999</v>
      </c>
      <c r="Q62" s="958">
        <f t="shared" si="11"/>
        <v>1471959.8774999999</v>
      </c>
      <c r="R62" s="958">
        <v>0</v>
      </c>
      <c r="S62" s="958">
        <f t="shared" si="12"/>
        <v>1471959.8774999999</v>
      </c>
      <c r="T62" s="958">
        <f t="shared" si="13"/>
        <v>122663.323125</v>
      </c>
      <c r="U62" s="959">
        <f t="shared" si="14"/>
        <v>4429255.5526069272</v>
      </c>
      <c r="V62" s="959">
        <f t="shared" si="14"/>
        <v>369104.62938391068</v>
      </c>
    </row>
    <row r="63" spans="1:22">
      <c r="A63" s="960">
        <v>57</v>
      </c>
      <c r="B63" s="961" t="s">
        <v>148</v>
      </c>
      <c r="C63" s="1081">
        <f>'2-1-13 SIS'!H63</f>
        <v>0</v>
      </c>
      <c r="D63" s="966">
        <f>'Table 3 Levels 1&amp;2'!AL64</f>
        <v>4485.7073020218859</v>
      </c>
      <c r="E63" s="1013">
        <f t="shared" si="2"/>
        <v>0</v>
      </c>
      <c r="F63" s="1013">
        <f>'Table 4 Level 3'!P62</f>
        <v>764.51</v>
      </c>
      <c r="G63" s="1013">
        <f t="shared" si="3"/>
        <v>0</v>
      </c>
      <c r="H63" s="989">
        <f t="shared" si="4"/>
        <v>0</v>
      </c>
      <c r="I63" s="1023">
        <f t="shared" si="5"/>
        <v>0</v>
      </c>
      <c r="J63" s="989">
        <f t="shared" si="6"/>
        <v>0</v>
      </c>
      <c r="K63" s="989">
        <v>0</v>
      </c>
      <c r="L63" s="989">
        <f t="shared" si="7"/>
        <v>0</v>
      </c>
      <c r="M63" s="989">
        <f t="shared" si="8"/>
        <v>0</v>
      </c>
      <c r="N63" s="981">
        <f>'Table 5C1A-Madison Prep'!N63</f>
        <v>3107</v>
      </c>
      <c r="O63" s="983">
        <f t="shared" si="9"/>
        <v>0</v>
      </c>
      <c r="P63" s="1029">
        <f t="shared" si="10"/>
        <v>0</v>
      </c>
      <c r="Q63" s="983">
        <f t="shared" si="11"/>
        <v>0</v>
      </c>
      <c r="R63" s="983">
        <v>0</v>
      </c>
      <c r="S63" s="983">
        <f t="shared" si="12"/>
        <v>0</v>
      </c>
      <c r="T63" s="983">
        <f t="shared" si="13"/>
        <v>0</v>
      </c>
      <c r="U63" s="984">
        <f t="shared" si="14"/>
        <v>0</v>
      </c>
      <c r="V63" s="984">
        <f t="shared" si="14"/>
        <v>0</v>
      </c>
    </row>
    <row r="64" spans="1:22">
      <c r="A64" s="960">
        <v>58</v>
      </c>
      <c r="B64" s="961" t="s">
        <v>149</v>
      </c>
      <c r="C64" s="1081">
        <f>'2-1-13 SIS'!H64</f>
        <v>0</v>
      </c>
      <c r="D64" s="966">
        <f>'Table 3 Levels 1&amp;2'!AL65</f>
        <v>5457.8662803476354</v>
      </c>
      <c r="E64" s="1013">
        <f t="shared" si="2"/>
        <v>0</v>
      </c>
      <c r="F64" s="1013">
        <f>'Table 4 Level 3'!P63</f>
        <v>697.04</v>
      </c>
      <c r="G64" s="1013">
        <f t="shared" si="3"/>
        <v>0</v>
      </c>
      <c r="H64" s="989">
        <f t="shared" si="4"/>
        <v>0</v>
      </c>
      <c r="I64" s="1023">
        <f t="shared" si="5"/>
        <v>0</v>
      </c>
      <c r="J64" s="989">
        <f t="shared" si="6"/>
        <v>0</v>
      </c>
      <c r="K64" s="989">
        <v>0</v>
      </c>
      <c r="L64" s="989">
        <f t="shared" si="7"/>
        <v>0</v>
      </c>
      <c r="M64" s="989">
        <f t="shared" si="8"/>
        <v>0</v>
      </c>
      <c r="N64" s="981">
        <f>'Table 5C1A-Madison Prep'!N64</f>
        <v>2105</v>
      </c>
      <c r="O64" s="983">
        <f t="shared" si="9"/>
        <v>0</v>
      </c>
      <c r="P64" s="1029">
        <f t="shared" si="10"/>
        <v>0</v>
      </c>
      <c r="Q64" s="983">
        <f t="shared" si="11"/>
        <v>0</v>
      </c>
      <c r="R64" s="983">
        <v>0</v>
      </c>
      <c r="S64" s="983">
        <f t="shared" si="12"/>
        <v>0</v>
      </c>
      <c r="T64" s="983">
        <f t="shared" si="13"/>
        <v>0</v>
      </c>
      <c r="U64" s="984">
        <f t="shared" si="14"/>
        <v>0</v>
      </c>
      <c r="V64" s="984">
        <f t="shared" si="14"/>
        <v>0</v>
      </c>
    </row>
    <row r="65" spans="1:22">
      <c r="A65" s="960">
        <v>59</v>
      </c>
      <c r="B65" s="961" t="s">
        <v>150</v>
      </c>
      <c r="C65" s="1081">
        <f>'2-1-13 SIS'!H65</f>
        <v>0</v>
      </c>
      <c r="D65" s="966">
        <f>'Table 3 Levels 1&amp;2'!AL66</f>
        <v>6274.2786338006481</v>
      </c>
      <c r="E65" s="1013">
        <f t="shared" si="2"/>
        <v>0</v>
      </c>
      <c r="F65" s="1013">
        <f>'Table 4 Level 3'!P64</f>
        <v>689.52</v>
      </c>
      <c r="G65" s="1013">
        <f t="shared" si="3"/>
        <v>0</v>
      </c>
      <c r="H65" s="989">
        <f t="shared" si="4"/>
        <v>0</v>
      </c>
      <c r="I65" s="1023">
        <f t="shared" si="5"/>
        <v>0</v>
      </c>
      <c r="J65" s="989">
        <f t="shared" si="6"/>
        <v>0</v>
      </c>
      <c r="K65" s="989">
        <v>0</v>
      </c>
      <c r="L65" s="989">
        <f t="shared" si="7"/>
        <v>0</v>
      </c>
      <c r="M65" s="989">
        <f t="shared" si="8"/>
        <v>0</v>
      </c>
      <c r="N65" s="981">
        <f>'Table 5C1A-Madison Prep'!N65</f>
        <v>1510</v>
      </c>
      <c r="O65" s="983">
        <f t="shared" si="9"/>
        <v>0</v>
      </c>
      <c r="P65" s="1029">
        <f t="shared" si="10"/>
        <v>0</v>
      </c>
      <c r="Q65" s="983">
        <f t="shared" si="11"/>
        <v>0</v>
      </c>
      <c r="R65" s="983">
        <v>0</v>
      </c>
      <c r="S65" s="983">
        <f t="shared" si="12"/>
        <v>0</v>
      </c>
      <c r="T65" s="983">
        <f t="shared" si="13"/>
        <v>0</v>
      </c>
      <c r="U65" s="984">
        <f t="shared" si="14"/>
        <v>0</v>
      </c>
      <c r="V65" s="984">
        <f t="shared" si="14"/>
        <v>0</v>
      </c>
    </row>
    <row r="66" spans="1:22">
      <c r="A66" s="963">
        <v>60</v>
      </c>
      <c r="B66" s="964" t="s">
        <v>151</v>
      </c>
      <c r="C66" s="1082">
        <f>'2-1-13 SIS'!H66</f>
        <v>0</v>
      </c>
      <c r="D66" s="967">
        <f>'Table 3 Levels 1&amp;2'!AL67</f>
        <v>4940.9166775610411</v>
      </c>
      <c r="E66" s="1014">
        <f t="shared" si="2"/>
        <v>0</v>
      </c>
      <c r="F66" s="1014">
        <f>'Table 4 Level 3'!P65</f>
        <v>594.04</v>
      </c>
      <c r="G66" s="1014">
        <f t="shared" si="3"/>
        <v>0</v>
      </c>
      <c r="H66" s="990">
        <f t="shared" si="4"/>
        <v>0</v>
      </c>
      <c r="I66" s="1024">
        <f t="shared" si="5"/>
        <v>0</v>
      </c>
      <c r="J66" s="990">
        <f t="shared" si="6"/>
        <v>0</v>
      </c>
      <c r="K66" s="990">
        <v>0</v>
      </c>
      <c r="L66" s="990">
        <f t="shared" si="7"/>
        <v>0</v>
      </c>
      <c r="M66" s="990">
        <f t="shared" si="8"/>
        <v>0</v>
      </c>
      <c r="N66" s="986">
        <f>'Table 5C1A-Madison Prep'!N66</f>
        <v>3793</v>
      </c>
      <c r="O66" s="987">
        <f t="shared" si="9"/>
        <v>0</v>
      </c>
      <c r="P66" s="1030">
        <f t="shared" si="10"/>
        <v>0</v>
      </c>
      <c r="Q66" s="987">
        <f t="shared" si="11"/>
        <v>0</v>
      </c>
      <c r="R66" s="987">
        <v>0</v>
      </c>
      <c r="S66" s="987">
        <f t="shared" si="12"/>
        <v>0</v>
      </c>
      <c r="T66" s="987">
        <f t="shared" si="13"/>
        <v>0</v>
      </c>
      <c r="U66" s="988">
        <f t="shared" si="14"/>
        <v>0</v>
      </c>
      <c r="V66" s="988">
        <f t="shared" si="14"/>
        <v>0</v>
      </c>
    </row>
    <row r="67" spans="1:22">
      <c r="A67" s="953">
        <v>61</v>
      </c>
      <c r="B67" s="954" t="s">
        <v>152</v>
      </c>
      <c r="C67" s="1083">
        <f>'2-1-13 SIS'!H67</f>
        <v>0</v>
      </c>
      <c r="D67" s="968">
        <f>'Table 3 Levels 1&amp;2'!AL68</f>
        <v>2908.0344869339228</v>
      </c>
      <c r="E67" s="1015">
        <f t="shared" si="2"/>
        <v>0</v>
      </c>
      <c r="F67" s="1015">
        <f>'Table 4 Level 3'!P66</f>
        <v>833.70999999999992</v>
      </c>
      <c r="G67" s="1015">
        <f t="shared" si="3"/>
        <v>0</v>
      </c>
      <c r="H67" s="991">
        <f t="shared" si="4"/>
        <v>0</v>
      </c>
      <c r="I67" s="1025">
        <f t="shared" si="5"/>
        <v>0</v>
      </c>
      <c r="J67" s="991">
        <f t="shared" si="6"/>
        <v>0</v>
      </c>
      <c r="K67" s="991">
        <v>0</v>
      </c>
      <c r="L67" s="991">
        <f t="shared" si="7"/>
        <v>0</v>
      </c>
      <c r="M67" s="991">
        <f t="shared" si="8"/>
        <v>0</v>
      </c>
      <c r="N67" s="981">
        <f>'Table 5C1A-Madison Prep'!N67</f>
        <v>6570</v>
      </c>
      <c r="O67" s="958">
        <f t="shared" si="9"/>
        <v>0</v>
      </c>
      <c r="P67" s="1028">
        <f t="shared" si="10"/>
        <v>0</v>
      </c>
      <c r="Q67" s="958">
        <f t="shared" si="11"/>
        <v>0</v>
      </c>
      <c r="R67" s="958">
        <v>0</v>
      </c>
      <c r="S67" s="958">
        <f t="shared" si="12"/>
        <v>0</v>
      </c>
      <c r="T67" s="958">
        <f t="shared" si="13"/>
        <v>0</v>
      </c>
      <c r="U67" s="959">
        <f t="shared" si="14"/>
        <v>0</v>
      </c>
      <c r="V67" s="959">
        <f t="shared" si="14"/>
        <v>0</v>
      </c>
    </row>
    <row r="68" spans="1:22">
      <c r="A68" s="960">
        <v>62</v>
      </c>
      <c r="B68" s="961" t="s">
        <v>153</v>
      </c>
      <c r="C68" s="1081">
        <f>'2-1-13 SIS'!H68</f>
        <v>0</v>
      </c>
      <c r="D68" s="966">
        <f>'Table 3 Levels 1&amp;2'!AL69</f>
        <v>5652.1730736722093</v>
      </c>
      <c r="E68" s="1013">
        <f t="shared" si="2"/>
        <v>0</v>
      </c>
      <c r="F68" s="1013">
        <f>'Table 4 Level 3'!P67</f>
        <v>516.08000000000004</v>
      </c>
      <c r="G68" s="1013">
        <f t="shared" si="3"/>
        <v>0</v>
      </c>
      <c r="H68" s="989">
        <f t="shared" si="4"/>
        <v>0</v>
      </c>
      <c r="I68" s="1023">
        <f t="shared" si="5"/>
        <v>0</v>
      </c>
      <c r="J68" s="989">
        <f t="shared" si="6"/>
        <v>0</v>
      </c>
      <c r="K68" s="989">
        <v>0</v>
      </c>
      <c r="L68" s="989">
        <f t="shared" si="7"/>
        <v>0</v>
      </c>
      <c r="M68" s="989">
        <f t="shared" si="8"/>
        <v>0</v>
      </c>
      <c r="N68" s="981">
        <f>'Table 5C1A-Madison Prep'!N68</f>
        <v>1934</v>
      </c>
      <c r="O68" s="983">
        <f t="shared" si="9"/>
        <v>0</v>
      </c>
      <c r="P68" s="1029">
        <f t="shared" si="10"/>
        <v>0</v>
      </c>
      <c r="Q68" s="983">
        <f t="shared" si="11"/>
        <v>0</v>
      </c>
      <c r="R68" s="983">
        <v>0</v>
      </c>
      <c r="S68" s="983">
        <f t="shared" si="12"/>
        <v>0</v>
      </c>
      <c r="T68" s="983">
        <f t="shared" si="13"/>
        <v>0</v>
      </c>
      <c r="U68" s="984">
        <f t="shared" si="14"/>
        <v>0</v>
      </c>
      <c r="V68" s="984">
        <f t="shared" si="14"/>
        <v>0</v>
      </c>
    </row>
    <row r="69" spans="1:22">
      <c r="A69" s="960">
        <v>63</v>
      </c>
      <c r="B69" s="961" t="s">
        <v>154</v>
      </c>
      <c r="C69" s="1081">
        <f>'2-1-13 SIS'!H69</f>
        <v>0</v>
      </c>
      <c r="D69" s="966">
        <f>'Table 3 Levels 1&amp;2'!AL70</f>
        <v>4362.300753810403</v>
      </c>
      <c r="E69" s="1013">
        <f t="shared" si="2"/>
        <v>0</v>
      </c>
      <c r="F69" s="1013">
        <f>'Table 4 Level 3'!P68</f>
        <v>756.79</v>
      </c>
      <c r="G69" s="1013">
        <f t="shared" si="3"/>
        <v>0</v>
      </c>
      <c r="H69" s="989">
        <f t="shared" si="4"/>
        <v>0</v>
      </c>
      <c r="I69" s="1023">
        <f t="shared" si="5"/>
        <v>0</v>
      </c>
      <c r="J69" s="989">
        <f t="shared" si="6"/>
        <v>0</v>
      </c>
      <c r="K69" s="989">
        <v>0</v>
      </c>
      <c r="L69" s="989">
        <f t="shared" si="7"/>
        <v>0</v>
      </c>
      <c r="M69" s="989">
        <f t="shared" si="8"/>
        <v>0</v>
      </c>
      <c r="N69" s="981">
        <f>'Table 5C1A-Madison Prep'!N69</f>
        <v>6787</v>
      </c>
      <c r="O69" s="983">
        <f t="shared" si="9"/>
        <v>0</v>
      </c>
      <c r="P69" s="1029">
        <f t="shared" si="10"/>
        <v>0</v>
      </c>
      <c r="Q69" s="983">
        <f t="shared" si="11"/>
        <v>0</v>
      </c>
      <c r="R69" s="983">
        <v>0</v>
      </c>
      <c r="S69" s="983">
        <f t="shared" si="12"/>
        <v>0</v>
      </c>
      <c r="T69" s="983">
        <f t="shared" si="13"/>
        <v>0</v>
      </c>
      <c r="U69" s="984">
        <f t="shared" si="14"/>
        <v>0</v>
      </c>
      <c r="V69" s="984">
        <f t="shared" si="14"/>
        <v>0</v>
      </c>
    </row>
    <row r="70" spans="1:22">
      <c r="A70" s="960">
        <v>64</v>
      </c>
      <c r="B70" s="961" t="s">
        <v>155</v>
      </c>
      <c r="C70" s="1081">
        <f>'2-1-13 SIS'!H70</f>
        <v>0</v>
      </c>
      <c r="D70" s="966">
        <f>'Table 3 Levels 1&amp;2'!AL71</f>
        <v>5960.2049072003338</v>
      </c>
      <c r="E70" s="1013">
        <f t="shared" si="2"/>
        <v>0</v>
      </c>
      <c r="F70" s="1013">
        <f>'Table 4 Level 3'!P69</f>
        <v>592.66</v>
      </c>
      <c r="G70" s="1013">
        <f t="shared" si="3"/>
        <v>0</v>
      </c>
      <c r="H70" s="989">
        <f t="shared" si="4"/>
        <v>0</v>
      </c>
      <c r="I70" s="1023">
        <f t="shared" si="5"/>
        <v>0</v>
      </c>
      <c r="J70" s="989">
        <f t="shared" si="6"/>
        <v>0</v>
      </c>
      <c r="K70" s="989">
        <v>0</v>
      </c>
      <c r="L70" s="989">
        <f t="shared" si="7"/>
        <v>0</v>
      </c>
      <c r="M70" s="989">
        <f t="shared" si="8"/>
        <v>0</v>
      </c>
      <c r="N70" s="981">
        <f>'Table 5C1A-Madison Prep'!N70</f>
        <v>2901</v>
      </c>
      <c r="O70" s="983">
        <f t="shared" si="9"/>
        <v>0</v>
      </c>
      <c r="P70" s="1029">
        <f t="shared" si="10"/>
        <v>0</v>
      </c>
      <c r="Q70" s="983">
        <f t="shared" si="11"/>
        <v>0</v>
      </c>
      <c r="R70" s="983">
        <v>0</v>
      </c>
      <c r="S70" s="983">
        <f t="shared" si="12"/>
        <v>0</v>
      </c>
      <c r="T70" s="983">
        <f t="shared" si="13"/>
        <v>0</v>
      </c>
      <c r="U70" s="984">
        <f t="shared" si="14"/>
        <v>0</v>
      </c>
      <c r="V70" s="984">
        <f t="shared" si="14"/>
        <v>0</v>
      </c>
    </row>
    <row r="71" spans="1:22">
      <c r="A71" s="963">
        <v>65</v>
      </c>
      <c r="B71" s="964" t="s">
        <v>156</v>
      </c>
      <c r="C71" s="1082">
        <f>'2-1-13 SIS'!H71</f>
        <v>3</v>
      </c>
      <c r="D71" s="967">
        <f>'Table 3 Levels 1&amp;2'!AL72</f>
        <v>4579.2772303106676</v>
      </c>
      <c r="E71" s="1014">
        <f t="shared" si="2"/>
        <v>13737.831690932002</v>
      </c>
      <c r="F71" s="1014">
        <f>'Table 4 Level 3'!P70</f>
        <v>829.12</v>
      </c>
      <c r="G71" s="1014">
        <f t="shared" si="3"/>
        <v>2487.36</v>
      </c>
      <c r="H71" s="990">
        <f t="shared" si="4"/>
        <v>16225.191690932003</v>
      </c>
      <c r="I71" s="1024">
        <f t="shared" si="5"/>
        <v>-40.562979227330004</v>
      </c>
      <c r="J71" s="990">
        <f t="shared" si="6"/>
        <v>16184.628711704672</v>
      </c>
      <c r="K71" s="990">
        <v>0</v>
      </c>
      <c r="L71" s="990">
        <f t="shared" si="7"/>
        <v>16184.628711704672</v>
      </c>
      <c r="M71" s="990">
        <f t="shared" si="8"/>
        <v>1348.7190593087228</v>
      </c>
      <c r="N71" s="986">
        <f>'Table 5C1A-Madison Prep'!N71</f>
        <v>5001</v>
      </c>
      <c r="O71" s="987">
        <f t="shared" si="9"/>
        <v>15003</v>
      </c>
      <c r="P71" s="1030">
        <f t="shared" si="10"/>
        <v>-37.5075</v>
      </c>
      <c r="Q71" s="987">
        <f t="shared" si="11"/>
        <v>14965.4925</v>
      </c>
      <c r="R71" s="987">
        <v>0</v>
      </c>
      <c r="S71" s="987">
        <f t="shared" si="12"/>
        <v>14965.4925</v>
      </c>
      <c r="T71" s="987">
        <f t="shared" si="13"/>
        <v>1247.1243750000001</v>
      </c>
      <c r="U71" s="988">
        <f t="shared" si="14"/>
        <v>31150.121211704674</v>
      </c>
      <c r="V71" s="988">
        <f t="shared" si="14"/>
        <v>2595.8434343087229</v>
      </c>
    </row>
    <row r="72" spans="1:22">
      <c r="A72" s="953">
        <v>66</v>
      </c>
      <c r="B72" s="954" t="s">
        <v>157</v>
      </c>
      <c r="C72" s="1083">
        <f>'2-1-13 SIS'!H72</f>
        <v>0</v>
      </c>
      <c r="D72" s="968">
        <f>'Table 3 Levels 1&amp;2'!AL73</f>
        <v>6370.8108195713585</v>
      </c>
      <c r="E72" s="1015">
        <f t="shared" ref="E72:E76" si="15">C72*D72</f>
        <v>0</v>
      </c>
      <c r="F72" s="1015">
        <f>'Table 4 Level 3'!P71</f>
        <v>730.06</v>
      </c>
      <c r="G72" s="1015">
        <f t="shared" ref="G72:G76" si="16">C72*F72</f>
        <v>0</v>
      </c>
      <c r="H72" s="991">
        <f t="shared" ref="H72:H76" si="17">E72+G72</f>
        <v>0</v>
      </c>
      <c r="I72" s="1025">
        <f t="shared" ref="I72:I76" si="18">-(0.25%*H72)</f>
        <v>0</v>
      </c>
      <c r="J72" s="991">
        <f t="shared" ref="J72:J76" si="19">SUM(H72:I72)</f>
        <v>0</v>
      </c>
      <c r="K72" s="991">
        <v>0</v>
      </c>
      <c r="L72" s="991">
        <f t="shared" ref="L72:L76" si="20">SUM(J72:K72)</f>
        <v>0</v>
      </c>
      <c r="M72" s="991">
        <f t="shared" ref="M72:M76" si="21">L72/12</f>
        <v>0</v>
      </c>
      <c r="N72" s="981">
        <f>'Table 5C1A-Madison Prep'!N72</f>
        <v>3415</v>
      </c>
      <c r="O72" s="958">
        <f t="shared" ref="O72:O75" si="22">C72*N72</f>
        <v>0</v>
      </c>
      <c r="P72" s="1028">
        <f t="shared" ref="P72:P75" si="23">-(0.25%*O72)</f>
        <v>0</v>
      </c>
      <c r="Q72" s="958">
        <f t="shared" ref="Q72:Q75" si="24">SUM(O72:P72)</f>
        <v>0</v>
      </c>
      <c r="R72" s="958">
        <v>0</v>
      </c>
      <c r="S72" s="958">
        <f t="shared" ref="S72:S75" si="25">SUM(Q72:R72)</f>
        <v>0</v>
      </c>
      <c r="T72" s="958">
        <f t="shared" ref="T72:T75" si="26">S72/12</f>
        <v>0</v>
      </c>
      <c r="U72" s="959">
        <f t="shared" ref="U72:V76" si="27">L72+S72</f>
        <v>0</v>
      </c>
      <c r="V72" s="959">
        <f t="shared" si="27"/>
        <v>0</v>
      </c>
    </row>
    <row r="73" spans="1:22">
      <c r="A73" s="960">
        <v>67</v>
      </c>
      <c r="B73" s="961" t="s">
        <v>32</v>
      </c>
      <c r="C73" s="1081">
        <f>'2-1-13 SIS'!H73</f>
        <v>0</v>
      </c>
      <c r="D73" s="966">
        <f>'Table 3 Levels 1&amp;2'!AL74</f>
        <v>4951.6009932106244</v>
      </c>
      <c r="E73" s="1013">
        <f t="shared" si="15"/>
        <v>0</v>
      </c>
      <c r="F73" s="1013">
        <f>'Table 4 Level 3'!P72</f>
        <v>715.61</v>
      </c>
      <c r="G73" s="1013">
        <f t="shared" si="16"/>
        <v>0</v>
      </c>
      <c r="H73" s="989">
        <f t="shared" si="17"/>
        <v>0</v>
      </c>
      <c r="I73" s="1023">
        <f t="shared" si="18"/>
        <v>0</v>
      </c>
      <c r="J73" s="989">
        <f t="shared" si="19"/>
        <v>0</v>
      </c>
      <c r="K73" s="989">
        <v>0</v>
      </c>
      <c r="L73" s="989">
        <f t="shared" si="20"/>
        <v>0</v>
      </c>
      <c r="M73" s="989">
        <f t="shared" si="21"/>
        <v>0</v>
      </c>
      <c r="N73" s="981">
        <f>'Table 5C1A-Madison Prep'!N73</f>
        <v>5221</v>
      </c>
      <c r="O73" s="983">
        <f t="shared" si="22"/>
        <v>0</v>
      </c>
      <c r="P73" s="1029">
        <f t="shared" si="23"/>
        <v>0</v>
      </c>
      <c r="Q73" s="983">
        <f t="shared" si="24"/>
        <v>0</v>
      </c>
      <c r="R73" s="983">
        <v>0</v>
      </c>
      <c r="S73" s="983">
        <f t="shared" si="25"/>
        <v>0</v>
      </c>
      <c r="T73" s="983">
        <f t="shared" si="26"/>
        <v>0</v>
      </c>
      <c r="U73" s="984">
        <f t="shared" si="27"/>
        <v>0</v>
      </c>
      <c r="V73" s="984">
        <f t="shared" si="27"/>
        <v>0</v>
      </c>
    </row>
    <row r="74" spans="1:22">
      <c r="A74" s="960">
        <v>68</v>
      </c>
      <c r="B74" s="961" t="s">
        <v>30</v>
      </c>
      <c r="C74" s="1081">
        <f>'2-1-13 SIS'!H74</f>
        <v>0</v>
      </c>
      <c r="D74" s="966">
        <f>'Table 3 Levels 1&amp;2'!AL75</f>
        <v>6077.2398733698947</v>
      </c>
      <c r="E74" s="1013">
        <f t="shared" si="15"/>
        <v>0</v>
      </c>
      <c r="F74" s="1013">
        <f>'Table 4 Level 3'!P73</f>
        <v>798.7</v>
      </c>
      <c r="G74" s="1013">
        <f t="shared" si="16"/>
        <v>0</v>
      </c>
      <c r="H74" s="989">
        <f t="shared" si="17"/>
        <v>0</v>
      </c>
      <c r="I74" s="1023">
        <f t="shared" si="18"/>
        <v>0</v>
      </c>
      <c r="J74" s="989">
        <f t="shared" si="19"/>
        <v>0</v>
      </c>
      <c r="K74" s="989">
        <v>0</v>
      </c>
      <c r="L74" s="989">
        <f t="shared" si="20"/>
        <v>0</v>
      </c>
      <c r="M74" s="989">
        <f t="shared" si="21"/>
        <v>0</v>
      </c>
      <c r="N74" s="981">
        <f>'Table 5C1A-Madison Prep'!N74</f>
        <v>2680</v>
      </c>
      <c r="O74" s="983">
        <f t="shared" si="22"/>
        <v>0</v>
      </c>
      <c r="P74" s="1029">
        <f t="shared" si="23"/>
        <v>0</v>
      </c>
      <c r="Q74" s="983">
        <f t="shared" si="24"/>
        <v>0</v>
      </c>
      <c r="R74" s="983">
        <v>0</v>
      </c>
      <c r="S74" s="983">
        <f t="shared" si="25"/>
        <v>0</v>
      </c>
      <c r="T74" s="983">
        <f t="shared" si="26"/>
        <v>0</v>
      </c>
      <c r="U74" s="984">
        <f t="shared" si="27"/>
        <v>0</v>
      </c>
      <c r="V74" s="984">
        <f t="shared" si="27"/>
        <v>0</v>
      </c>
    </row>
    <row r="75" spans="1:22">
      <c r="A75" s="1109">
        <v>69</v>
      </c>
      <c r="B75" s="1110" t="s">
        <v>208</v>
      </c>
      <c r="C75" s="1111">
        <f>'2-1-13 SIS'!H75</f>
        <v>0</v>
      </c>
      <c r="D75" s="1112">
        <f>'Table 3 Levels 1&amp;2'!AL76</f>
        <v>5585.8253106686579</v>
      </c>
      <c r="E75" s="1016">
        <f t="shared" si="15"/>
        <v>0</v>
      </c>
      <c r="F75" s="1113">
        <f>'Table 4 Level 3'!P74</f>
        <v>705.67</v>
      </c>
      <c r="G75" s="1016">
        <f t="shared" si="16"/>
        <v>0</v>
      </c>
      <c r="H75" s="992">
        <f t="shared" si="17"/>
        <v>0</v>
      </c>
      <c r="I75" s="1114">
        <f t="shared" si="18"/>
        <v>0</v>
      </c>
      <c r="J75" s="1115">
        <f t="shared" si="19"/>
        <v>0</v>
      </c>
      <c r="K75" s="1115">
        <v>0</v>
      </c>
      <c r="L75" s="1115">
        <f t="shared" si="20"/>
        <v>0</v>
      </c>
      <c r="M75" s="1115">
        <f t="shared" si="21"/>
        <v>0</v>
      </c>
      <c r="N75" s="981">
        <f>'Table 5C1A-Madison Prep'!N75</f>
        <v>3263</v>
      </c>
      <c r="O75" s="993">
        <f t="shared" si="22"/>
        <v>0</v>
      </c>
      <c r="P75" s="1031">
        <f t="shared" si="23"/>
        <v>0</v>
      </c>
      <c r="Q75" s="993">
        <f t="shared" si="24"/>
        <v>0</v>
      </c>
      <c r="R75" s="993">
        <v>0</v>
      </c>
      <c r="S75" s="993">
        <f t="shared" si="25"/>
        <v>0</v>
      </c>
      <c r="T75" s="993">
        <f t="shared" si="26"/>
        <v>0</v>
      </c>
      <c r="U75" s="994">
        <f t="shared" si="27"/>
        <v>0</v>
      </c>
      <c r="V75" s="994">
        <f t="shared" si="27"/>
        <v>0</v>
      </c>
    </row>
    <row r="76" spans="1:22">
      <c r="A76" s="1101"/>
      <c r="B76" s="1102" t="s">
        <v>485</v>
      </c>
      <c r="C76" s="1108">
        <f>'2-1-13 SIS'!H76</f>
        <v>1</v>
      </c>
      <c r="D76" s="968">
        <f>'Table 3 Levels 1&amp;2'!AL63</f>
        <v>4968.593189672727</v>
      </c>
      <c r="E76" s="1016">
        <f t="shared" si="15"/>
        <v>4968.593189672727</v>
      </c>
      <c r="F76" s="1015">
        <f>'Table 4 Level 3'!P61</f>
        <v>614.66000000000008</v>
      </c>
      <c r="G76" s="1016">
        <f t="shared" si="16"/>
        <v>614.66000000000008</v>
      </c>
      <c r="H76" s="992">
        <f t="shared" si="17"/>
        <v>5583.2531896727269</v>
      </c>
      <c r="I76" s="1114">
        <f t="shared" si="18"/>
        <v>-13.958132974181817</v>
      </c>
      <c r="J76" s="1115">
        <f t="shared" si="19"/>
        <v>5569.2950566985446</v>
      </c>
      <c r="K76" s="1115">
        <v>0</v>
      </c>
      <c r="L76" s="1115">
        <f t="shared" si="20"/>
        <v>5569.2950566985446</v>
      </c>
      <c r="M76" s="1115">
        <f t="shared" si="21"/>
        <v>464.1079213915454</v>
      </c>
      <c r="N76" s="981"/>
      <c r="O76" s="993"/>
      <c r="P76" s="1031"/>
      <c r="Q76" s="993"/>
      <c r="R76" s="993"/>
      <c r="S76" s="993"/>
      <c r="T76" s="993"/>
      <c r="U76" s="994">
        <f t="shared" si="27"/>
        <v>5569.2950566985446</v>
      </c>
      <c r="V76" s="994">
        <f t="shared" si="27"/>
        <v>464.1079213915454</v>
      </c>
    </row>
    <row r="77" spans="1:22" ht="13.5" thickBot="1">
      <c r="A77" s="972"/>
      <c r="B77" s="973" t="s">
        <v>158</v>
      </c>
      <c r="C77" s="974">
        <f>SUM(C7:C76)</f>
        <v>548</v>
      </c>
      <c r="D77" s="975"/>
      <c r="E77" s="1017">
        <f>SUM(E7:E76)</f>
        <v>2719087.971096464</v>
      </c>
      <c r="F77" s="1017">
        <f>'Table 4 Level 3'!P75</f>
        <v>704.49059912051428</v>
      </c>
      <c r="G77" s="1017">
        <f t="shared" ref="G77:M77" si="28">SUM(G7:G76)</f>
        <v>338033.91</v>
      </c>
      <c r="H77" s="976">
        <f t="shared" si="28"/>
        <v>3057121.8810964641</v>
      </c>
      <c r="I77" s="1027">
        <f t="shared" si="28"/>
        <v>-7642.8047027411612</v>
      </c>
      <c r="J77" s="976">
        <f t="shared" si="28"/>
        <v>3049479.0763937226</v>
      </c>
      <c r="K77" s="1117">
        <f t="shared" si="28"/>
        <v>0</v>
      </c>
      <c r="L77" s="976">
        <f t="shared" si="28"/>
        <v>3049479.0763937226</v>
      </c>
      <c r="M77" s="976">
        <f t="shared" si="28"/>
        <v>254123.25636614361</v>
      </c>
      <c r="N77" s="995">
        <f>'Table 5C1A-Madison Prep'!N76</f>
        <v>4503</v>
      </c>
      <c r="O77" s="977">
        <f t="shared" ref="O77:V77" si="29">SUM(O7:O76)</f>
        <v>1546669</v>
      </c>
      <c r="P77" s="1032">
        <f t="shared" si="29"/>
        <v>-3866.6725000000001</v>
      </c>
      <c r="Q77" s="977">
        <f t="shared" si="29"/>
        <v>1542802.3274999999</v>
      </c>
      <c r="R77" s="977">
        <f t="shared" si="29"/>
        <v>0</v>
      </c>
      <c r="S77" s="977">
        <f t="shared" si="29"/>
        <v>1542802.3274999999</v>
      </c>
      <c r="T77" s="977">
        <f t="shared" si="29"/>
        <v>128566.860625</v>
      </c>
      <c r="U77" s="978">
        <f t="shared" si="29"/>
        <v>4592281.4038937232</v>
      </c>
      <c r="V77" s="978">
        <f t="shared" si="29"/>
        <v>382690.11699114362</v>
      </c>
    </row>
    <row r="78" spans="1:22" ht="13.5" thickTop="1"/>
  </sheetData>
  <mergeCells count="19">
    <mergeCell ref="A2:B4"/>
    <mergeCell ref="C2:M2"/>
    <mergeCell ref="N2:T2"/>
    <mergeCell ref="U2:U4"/>
    <mergeCell ref="V2:V4"/>
    <mergeCell ref="C3:C4"/>
    <mergeCell ref="D3:D4"/>
    <mergeCell ref="E3:E4"/>
    <mergeCell ref="F3:F4"/>
    <mergeCell ref="G3:G4"/>
    <mergeCell ref="Q3:Q4"/>
    <mergeCell ref="R3:R4"/>
    <mergeCell ref="S3:S4"/>
    <mergeCell ref="H3:H4"/>
    <mergeCell ref="J3:J4"/>
    <mergeCell ref="K3:K4"/>
    <mergeCell ref="L3:L4"/>
    <mergeCell ref="M3:M4"/>
    <mergeCell ref="N3:N4"/>
  </mergeCells>
  <pageMargins left="0.31" right="0.35" top="0.75" bottom="0.75" header="0.3" footer="0.3"/>
  <pageSetup paperSize="5" scale="63" firstPageNumber="52" orientation="portrait" useFirstPageNumber="1" r:id="rId1"/>
  <headerFooter>
    <oddHeader>&amp;L&amp;"Arial,Bold"&amp;20Table 5C1-B: FY2013-14 MFP Budget Letter 
D'Arbonne Woods Charter School</oddHeader>
    <oddFooter>&amp;R&amp;P</oddFooter>
  </headerFooter>
  <colBreaks count="1" manualBreakCount="1">
    <brk id="1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view="pageBreakPreview" zoomScale="90" zoomScaleNormal="100" zoomScaleSheetLayoutView="90" workbookViewId="0">
      <pane xSplit="2" ySplit="6" topLeftCell="K7" activePane="bottomRight" state="frozen"/>
      <selection activeCell="A2" sqref="A2:B4"/>
      <selection pane="topRight" activeCell="A2" sqref="A2:B4"/>
      <selection pane="bottomLeft" activeCell="A2" sqref="A2:B4"/>
      <selection pane="bottomRight" activeCell="N32" sqref="N32"/>
    </sheetView>
  </sheetViews>
  <sheetFormatPr defaultRowHeight="12.75"/>
  <cols>
    <col min="1" max="1" width="4.28515625" customWidth="1"/>
    <col min="2" max="2" width="17.85546875" bestFit="1" customWidth="1"/>
    <col min="3" max="3" width="12.5703125" customWidth="1"/>
    <col min="4" max="4" width="17" customWidth="1"/>
    <col min="5" max="5" width="11" bestFit="1" customWidth="1"/>
    <col min="6" max="6" width="12" customWidth="1"/>
    <col min="7" max="7" width="12.5703125" bestFit="1" customWidth="1"/>
    <col min="8" max="8" width="11.85546875" bestFit="1" customWidth="1"/>
    <col min="9" max="9" width="12.28515625" customWidth="1"/>
    <col min="10" max="10" width="12" bestFit="1" customWidth="1"/>
    <col min="11" max="11" width="13.42578125" bestFit="1" customWidth="1"/>
    <col min="12" max="12" width="13.5703125" bestFit="1" customWidth="1"/>
    <col min="13" max="13" width="9.28515625" bestFit="1" customWidth="1"/>
    <col min="14" max="14" width="17.28515625" customWidth="1"/>
    <col min="15" max="15" width="16.7109375" customWidth="1"/>
    <col min="16" max="16" width="13.7109375" customWidth="1"/>
    <col min="17" max="17" width="17" customWidth="1"/>
    <col min="18" max="18" width="15.28515625" customWidth="1"/>
    <col min="19" max="19" width="13.140625" customWidth="1"/>
    <col min="20" max="20" width="12" customWidth="1"/>
    <col min="21" max="21" width="11" customWidth="1"/>
    <col min="22" max="22" width="12.140625" customWidth="1"/>
  </cols>
  <sheetData>
    <row r="1" spans="1:22"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:22" ht="45" customHeight="1">
      <c r="A2" s="1723" t="s">
        <v>958</v>
      </c>
      <c r="B2" s="1724"/>
      <c r="C2" s="1718" t="s">
        <v>500</v>
      </c>
      <c r="D2" s="1719"/>
      <c r="E2" s="1719"/>
      <c r="F2" s="1719"/>
      <c r="G2" s="1719"/>
      <c r="H2" s="1719"/>
      <c r="I2" s="1719"/>
      <c r="J2" s="1719"/>
      <c r="K2" s="1719"/>
      <c r="L2" s="1719"/>
      <c r="M2" s="1720"/>
      <c r="N2" s="1700" t="s">
        <v>656</v>
      </c>
      <c r="O2" s="1701"/>
      <c r="P2" s="1701"/>
      <c r="Q2" s="1701"/>
      <c r="R2" s="1701"/>
      <c r="S2" s="1701"/>
      <c r="T2" s="1702"/>
      <c r="U2" s="1703" t="s">
        <v>683</v>
      </c>
      <c r="V2" s="1703" t="s">
        <v>654</v>
      </c>
    </row>
    <row r="3" spans="1:22" ht="117" customHeight="1">
      <c r="A3" s="1725"/>
      <c r="B3" s="1726"/>
      <c r="C3" s="1706" t="s">
        <v>588</v>
      </c>
      <c r="D3" s="1717" t="s">
        <v>744</v>
      </c>
      <c r="E3" s="1717" t="s">
        <v>674</v>
      </c>
      <c r="F3" s="1706" t="s">
        <v>501</v>
      </c>
      <c r="G3" s="1706" t="s">
        <v>445</v>
      </c>
      <c r="H3" s="1706" t="s">
        <v>675</v>
      </c>
      <c r="I3" s="1104" t="s">
        <v>456</v>
      </c>
      <c r="J3" s="1706" t="s">
        <v>676</v>
      </c>
      <c r="K3" s="1706" t="s">
        <v>967</v>
      </c>
      <c r="L3" s="1706" t="s">
        <v>677</v>
      </c>
      <c r="M3" s="1717" t="s">
        <v>655</v>
      </c>
      <c r="N3" s="1721" t="s">
        <v>959</v>
      </c>
      <c r="O3" s="1278" t="s">
        <v>684</v>
      </c>
      <c r="P3" s="1106" t="s">
        <v>457</v>
      </c>
      <c r="Q3" s="1709" t="s">
        <v>679</v>
      </c>
      <c r="R3" s="1709" t="s">
        <v>967</v>
      </c>
      <c r="S3" s="1709" t="s">
        <v>680</v>
      </c>
      <c r="T3" s="1278" t="s">
        <v>681</v>
      </c>
      <c r="U3" s="1704"/>
      <c r="V3" s="1704"/>
    </row>
    <row r="4" spans="1:22" ht="22.5" customHeight="1">
      <c r="A4" s="1727"/>
      <c r="B4" s="1728"/>
      <c r="C4" s="1707"/>
      <c r="D4" s="1717"/>
      <c r="E4" s="1717"/>
      <c r="F4" s="1707"/>
      <c r="G4" s="1707"/>
      <c r="H4" s="1707"/>
      <c r="I4" s="1018">
        <v>2.5000000000000001E-3</v>
      </c>
      <c r="J4" s="1707"/>
      <c r="K4" s="1707"/>
      <c r="L4" s="1707"/>
      <c r="M4" s="1717"/>
      <c r="N4" s="1722"/>
      <c r="O4" s="1105"/>
      <c r="P4" s="1019">
        <v>2.5000000000000001E-3</v>
      </c>
      <c r="Q4" s="1710"/>
      <c r="R4" s="1710"/>
      <c r="S4" s="1710"/>
      <c r="T4" s="1105"/>
      <c r="U4" s="1705"/>
      <c r="V4" s="1705"/>
    </row>
    <row r="5" spans="1:22" ht="14.25" customHeight="1">
      <c r="A5" s="950"/>
      <c r="B5" s="951"/>
      <c r="C5" s="952">
        <v>1</v>
      </c>
      <c r="D5" s="952">
        <f t="shared" ref="D5" si="0">C5+1</f>
        <v>2</v>
      </c>
      <c r="E5" s="952">
        <f>D5+1</f>
        <v>3</v>
      </c>
      <c r="F5" s="952">
        <f t="shared" ref="F5:V5" si="1">E5+1</f>
        <v>4</v>
      </c>
      <c r="G5" s="952">
        <f t="shared" si="1"/>
        <v>5</v>
      </c>
      <c r="H5" s="952">
        <f t="shared" si="1"/>
        <v>6</v>
      </c>
      <c r="I5" s="952">
        <f t="shared" si="1"/>
        <v>7</v>
      </c>
      <c r="J5" s="952">
        <f t="shared" si="1"/>
        <v>8</v>
      </c>
      <c r="K5" s="952">
        <f t="shared" si="1"/>
        <v>9</v>
      </c>
      <c r="L5" s="952">
        <f t="shared" si="1"/>
        <v>10</v>
      </c>
      <c r="M5" s="952">
        <f t="shared" si="1"/>
        <v>11</v>
      </c>
      <c r="N5" s="952">
        <f t="shared" si="1"/>
        <v>12</v>
      </c>
      <c r="O5" s="952">
        <f t="shared" si="1"/>
        <v>13</v>
      </c>
      <c r="P5" s="952">
        <f t="shared" si="1"/>
        <v>14</v>
      </c>
      <c r="Q5" s="952">
        <f t="shared" si="1"/>
        <v>15</v>
      </c>
      <c r="R5" s="952">
        <f t="shared" si="1"/>
        <v>16</v>
      </c>
      <c r="S5" s="952">
        <f t="shared" si="1"/>
        <v>17</v>
      </c>
      <c r="T5" s="952">
        <f t="shared" si="1"/>
        <v>18</v>
      </c>
      <c r="U5" s="952">
        <f t="shared" si="1"/>
        <v>19</v>
      </c>
      <c r="V5" s="952">
        <f t="shared" si="1"/>
        <v>20</v>
      </c>
    </row>
    <row r="6" spans="1:22" ht="27" customHeight="1">
      <c r="A6" s="979"/>
      <c r="B6" s="980"/>
      <c r="C6" s="980"/>
      <c r="D6" s="980"/>
      <c r="E6" s="980"/>
      <c r="F6" s="980"/>
      <c r="G6" s="980"/>
      <c r="H6" s="980"/>
      <c r="I6" s="980"/>
      <c r="J6" s="980"/>
      <c r="K6" s="980"/>
      <c r="L6" s="980"/>
      <c r="M6" s="980"/>
      <c r="N6" s="980"/>
      <c r="O6" s="980"/>
      <c r="P6" s="980"/>
      <c r="Q6" s="980"/>
      <c r="R6" s="980"/>
      <c r="S6" s="980"/>
      <c r="T6" s="980"/>
      <c r="U6" s="980"/>
      <c r="V6" s="980"/>
    </row>
    <row r="7" spans="1:22">
      <c r="A7" s="953">
        <v>1</v>
      </c>
      <c r="B7" s="954" t="s">
        <v>93</v>
      </c>
      <c r="C7" s="955">
        <f>'2-1-13 SIS'!K7</f>
        <v>0</v>
      </c>
      <c r="D7" s="956">
        <f>'Table 3 Levels 1&amp;2'!AL8</f>
        <v>4597.5882673899441</v>
      </c>
      <c r="E7" s="1010">
        <f>C7*D7</f>
        <v>0</v>
      </c>
      <c r="F7" s="1010">
        <f>'Table 4 Level 3'!P6</f>
        <v>777.48</v>
      </c>
      <c r="G7" s="1010">
        <f>C7*F7</f>
        <v>0</v>
      </c>
      <c r="H7" s="957">
        <f>E7+G7</f>
        <v>0</v>
      </c>
      <c r="I7" s="1020">
        <f>-(0.25%*H7)</f>
        <v>0</v>
      </c>
      <c r="J7" s="957">
        <f>SUM(H7:I7)</f>
        <v>0</v>
      </c>
      <c r="K7" s="957">
        <v>0</v>
      </c>
      <c r="L7" s="957">
        <f>SUM(J7:K7)</f>
        <v>0</v>
      </c>
      <c r="M7" s="957">
        <f>L7/12</f>
        <v>0</v>
      </c>
      <c r="N7" s="981">
        <f>'Table 5C1A-Madison Prep'!N7</f>
        <v>2168</v>
      </c>
      <c r="O7" s="958">
        <f>C7*N7</f>
        <v>0</v>
      </c>
      <c r="P7" s="1028">
        <f>-(0.25%*O7)</f>
        <v>0</v>
      </c>
      <c r="Q7" s="958">
        <f>SUM(O7:P7)</f>
        <v>0</v>
      </c>
      <c r="R7" s="958">
        <v>0</v>
      </c>
      <c r="S7" s="958">
        <f>SUM(Q7:R7)</f>
        <v>0</v>
      </c>
      <c r="T7" s="958">
        <f>S7/12</f>
        <v>0</v>
      </c>
      <c r="U7" s="959">
        <f>L7+S7</f>
        <v>0</v>
      </c>
      <c r="V7" s="959">
        <f>M7+T7</f>
        <v>0</v>
      </c>
    </row>
    <row r="8" spans="1:22">
      <c r="A8" s="960">
        <v>2</v>
      </c>
      <c r="B8" s="961" t="s">
        <v>94</v>
      </c>
      <c r="C8" s="1078">
        <f>'2-1-13 SIS'!K8</f>
        <v>0</v>
      </c>
      <c r="D8" s="962">
        <f>'Table 3 Levels 1&amp;2'!AL9</f>
        <v>6182.4313545138375</v>
      </c>
      <c r="E8" s="1011">
        <f t="shared" ref="E8:E71" si="2">C8*D8</f>
        <v>0</v>
      </c>
      <c r="F8" s="1011">
        <f>'Table 4 Level 3'!P7</f>
        <v>842.32</v>
      </c>
      <c r="G8" s="1011">
        <f t="shared" ref="G8:G71" si="3">C8*F8</f>
        <v>0</v>
      </c>
      <c r="H8" s="982">
        <f t="shared" ref="H8:H71" si="4">E8+G8</f>
        <v>0</v>
      </c>
      <c r="I8" s="1021">
        <f t="shared" ref="I8:I71" si="5">-(0.25%*H8)</f>
        <v>0</v>
      </c>
      <c r="J8" s="982">
        <f t="shared" ref="J8:J71" si="6">SUM(H8:I8)</f>
        <v>0</v>
      </c>
      <c r="K8" s="982">
        <v>0</v>
      </c>
      <c r="L8" s="982">
        <f t="shared" ref="L8:L71" si="7">SUM(J8:K8)</f>
        <v>0</v>
      </c>
      <c r="M8" s="982">
        <f t="shared" ref="M8:M71" si="8">L8/12</f>
        <v>0</v>
      </c>
      <c r="N8" s="981">
        <f>'Table 5C1A-Madison Prep'!N8</f>
        <v>2627</v>
      </c>
      <c r="O8" s="983">
        <f t="shared" ref="O8:O71" si="9">C8*N8</f>
        <v>0</v>
      </c>
      <c r="P8" s="1029">
        <f t="shared" ref="P8:P71" si="10">-(0.25%*O8)</f>
        <v>0</v>
      </c>
      <c r="Q8" s="983">
        <f t="shared" ref="Q8:Q71" si="11">SUM(O8:P8)</f>
        <v>0</v>
      </c>
      <c r="R8" s="983">
        <v>0</v>
      </c>
      <c r="S8" s="983">
        <f t="shared" ref="S8:S71" si="12">SUM(Q8:R8)</f>
        <v>0</v>
      </c>
      <c r="T8" s="983">
        <f t="shared" ref="T8:T71" si="13">S8/12</f>
        <v>0</v>
      </c>
      <c r="U8" s="984">
        <f t="shared" ref="U8:V71" si="14">L8+S8</f>
        <v>0</v>
      </c>
      <c r="V8" s="984">
        <f t="shared" si="14"/>
        <v>0</v>
      </c>
    </row>
    <row r="9" spans="1:22">
      <c r="A9" s="960">
        <v>3</v>
      </c>
      <c r="B9" s="961" t="s">
        <v>95</v>
      </c>
      <c r="C9" s="1078">
        <f>'2-1-13 SIS'!K9</f>
        <v>0</v>
      </c>
      <c r="D9" s="962">
        <f>'Table 3 Levels 1&amp;2'!AL10</f>
        <v>4206.710737685361</v>
      </c>
      <c r="E9" s="1011">
        <f t="shared" si="2"/>
        <v>0</v>
      </c>
      <c r="F9" s="1011">
        <f>'Table 4 Level 3'!P8</f>
        <v>596.84</v>
      </c>
      <c r="G9" s="1011">
        <f t="shared" si="3"/>
        <v>0</v>
      </c>
      <c r="H9" s="982">
        <f t="shared" si="4"/>
        <v>0</v>
      </c>
      <c r="I9" s="1021">
        <f t="shared" si="5"/>
        <v>0</v>
      </c>
      <c r="J9" s="982">
        <f t="shared" si="6"/>
        <v>0</v>
      </c>
      <c r="K9" s="982">
        <v>0</v>
      </c>
      <c r="L9" s="982">
        <f t="shared" si="7"/>
        <v>0</v>
      </c>
      <c r="M9" s="982">
        <f t="shared" si="8"/>
        <v>0</v>
      </c>
      <c r="N9" s="981">
        <f>'Table 5C1A-Madison Prep'!N9</f>
        <v>5431</v>
      </c>
      <c r="O9" s="983">
        <f t="shared" si="9"/>
        <v>0</v>
      </c>
      <c r="P9" s="1029">
        <f t="shared" si="10"/>
        <v>0</v>
      </c>
      <c r="Q9" s="983">
        <f t="shared" si="11"/>
        <v>0</v>
      </c>
      <c r="R9" s="983">
        <v>0</v>
      </c>
      <c r="S9" s="983">
        <f t="shared" si="12"/>
        <v>0</v>
      </c>
      <c r="T9" s="983">
        <f t="shared" si="13"/>
        <v>0</v>
      </c>
      <c r="U9" s="984">
        <f t="shared" si="14"/>
        <v>0</v>
      </c>
      <c r="V9" s="984">
        <f t="shared" si="14"/>
        <v>0</v>
      </c>
    </row>
    <row r="10" spans="1:22">
      <c r="A10" s="960">
        <v>4</v>
      </c>
      <c r="B10" s="961" t="s">
        <v>96</v>
      </c>
      <c r="C10" s="1078">
        <f>'2-1-13 SIS'!K10</f>
        <v>0</v>
      </c>
      <c r="D10" s="962">
        <f>'Table 3 Levels 1&amp;2'!AL11</f>
        <v>5987.4993535453223</v>
      </c>
      <c r="E10" s="1011">
        <f t="shared" si="2"/>
        <v>0</v>
      </c>
      <c r="F10" s="1011">
        <f>'Table 4 Level 3'!P9</f>
        <v>585.76</v>
      </c>
      <c r="G10" s="1011">
        <f t="shared" si="3"/>
        <v>0</v>
      </c>
      <c r="H10" s="982">
        <f t="shared" si="4"/>
        <v>0</v>
      </c>
      <c r="I10" s="1021">
        <f t="shared" si="5"/>
        <v>0</v>
      </c>
      <c r="J10" s="982">
        <f t="shared" si="6"/>
        <v>0</v>
      </c>
      <c r="K10" s="982">
        <v>0</v>
      </c>
      <c r="L10" s="982">
        <f t="shared" si="7"/>
        <v>0</v>
      </c>
      <c r="M10" s="982">
        <f t="shared" si="8"/>
        <v>0</v>
      </c>
      <c r="N10" s="981">
        <f>'Table 5C1A-Madison Prep'!N10</f>
        <v>3029</v>
      </c>
      <c r="O10" s="983">
        <f t="shared" si="9"/>
        <v>0</v>
      </c>
      <c r="P10" s="1029">
        <f t="shared" si="10"/>
        <v>0</v>
      </c>
      <c r="Q10" s="983">
        <f t="shared" si="11"/>
        <v>0</v>
      </c>
      <c r="R10" s="983">
        <v>0</v>
      </c>
      <c r="S10" s="983">
        <f t="shared" si="12"/>
        <v>0</v>
      </c>
      <c r="T10" s="983">
        <f t="shared" si="13"/>
        <v>0</v>
      </c>
      <c r="U10" s="984">
        <f t="shared" si="14"/>
        <v>0</v>
      </c>
      <c r="V10" s="984">
        <f t="shared" si="14"/>
        <v>0</v>
      </c>
    </row>
    <row r="11" spans="1:22">
      <c r="A11" s="963">
        <v>5</v>
      </c>
      <c r="B11" s="964" t="s">
        <v>97</v>
      </c>
      <c r="C11" s="1079">
        <f>'2-1-13 SIS'!K11</f>
        <v>0</v>
      </c>
      <c r="D11" s="965">
        <f>'Table 3 Levels 1&amp;2'!AL12</f>
        <v>4986.8166927080074</v>
      </c>
      <c r="E11" s="1012">
        <f t="shared" si="2"/>
        <v>0</v>
      </c>
      <c r="F11" s="1012">
        <f>'Table 4 Level 3'!P10</f>
        <v>555.91</v>
      </c>
      <c r="G11" s="1012">
        <f t="shared" si="3"/>
        <v>0</v>
      </c>
      <c r="H11" s="985">
        <f t="shared" si="4"/>
        <v>0</v>
      </c>
      <c r="I11" s="1022">
        <f t="shared" si="5"/>
        <v>0</v>
      </c>
      <c r="J11" s="985">
        <f t="shared" si="6"/>
        <v>0</v>
      </c>
      <c r="K11" s="985">
        <v>0</v>
      </c>
      <c r="L11" s="985">
        <f t="shared" si="7"/>
        <v>0</v>
      </c>
      <c r="M11" s="985">
        <f t="shared" si="8"/>
        <v>0</v>
      </c>
      <c r="N11" s="986">
        <f>'Table 5C1A-Madison Prep'!N11</f>
        <v>1751</v>
      </c>
      <c r="O11" s="987">
        <f t="shared" si="9"/>
        <v>0</v>
      </c>
      <c r="P11" s="1030">
        <f t="shared" si="10"/>
        <v>0</v>
      </c>
      <c r="Q11" s="987">
        <f t="shared" si="11"/>
        <v>0</v>
      </c>
      <c r="R11" s="987">
        <v>0</v>
      </c>
      <c r="S11" s="987">
        <f t="shared" si="12"/>
        <v>0</v>
      </c>
      <c r="T11" s="987">
        <f t="shared" si="13"/>
        <v>0</v>
      </c>
      <c r="U11" s="988">
        <f t="shared" si="14"/>
        <v>0</v>
      </c>
      <c r="V11" s="988">
        <f t="shared" si="14"/>
        <v>0</v>
      </c>
    </row>
    <row r="12" spans="1:22">
      <c r="A12" s="953">
        <v>6</v>
      </c>
      <c r="B12" s="954" t="s">
        <v>98</v>
      </c>
      <c r="C12" s="1080">
        <f>'2-1-13 SIS'!K12</f>
        <v>0</v>
      </c>
      <c r="D12" s="956">
        <f>'Table 3 Levels 1&amp;2'!AL13</f>
        <v>5412.7883404260592</v>
      </c>
      <c r="E12" s="1010">
        <f t="shared" si="2"/>
        <v>0</v>
      </c>
      <c r="F12" s="1010">
        <f>'Table 4 Level 3'!P11</f>
        <v>545.4799999999999</v>
      </c>
      <c r="G12" s="1010">
        <f t="shared" si="3"/>
        <v>0</v>
      </c>
      <c r="H12" s="957">
        <f t="shared" si="4"/>
        <v>0</v>
      </c>
      <c r="I12" s="1020">
        <f t="shared" si="5"/>
        <v>0</v>
      </c>
      <c r="J12" s="957">
        <f t="shared" si="6"/>
        <v>0</v>
      </c>
      <c r="K12" s="957">
        <v>0</v>
      </c>
      <c r="L12" s="957">
        <f t="shared" si="7"/>
        <v>0</v>
      </c>
      <c r="M12" s="957">
        <f t="shared" si="8"/>
        <v>0</v>
      </c>
      <c r="N12" s="981">
        <f>'Table 5C1A-Madison Prep'!N12</f>
        <v>3735</v>
      </c>
      <c r="O12" s="958">
        <f t="shared" si="9"/>
        <v>0</v>
      </c>
      <c r="P12" s="1028">
        <f t="shared" si="10"/>
        <v>0</v>
      </c>
      <c r="Q12" s="958">
        <f t="shared" si="11"/>
        <v>0</v>
      </c>
      <c r="R12" s="958">
        <v>0</v>
      </c>
      <c r="S12" s="958">
        <f t="shared" si="12"/>
        <v>0</v>
      </c>
      <c r="T12" s="958">
        <f t="shared" si="13"/>
        <v>0</v>
      </c>
      <c r="U12" s="959">
        <f t="shared" si="14"/>
        <v>0</v>
      </c>
      <c r="V12" s="959">
        <f t="shared" si="14"/>
        <v>0</v>
      </c>
    </row>
    <row r="13" spans="1:22">
      <c r="A13" s="960">
        <v>7</v>
      </c>
      <c r="B13" s="961" t="s">
        <v>99</v>
      </c>
      <c r="C13" s="1078">
        <f>'2-1-13 SIS'!K13</f>
        <v>0</v>
      </c>
      <c r="D13" s="962">
        <f>'Table 3 Levels 1&amp;2'!AL14</f>
        <v>1766.1023604176123</v>
      </c>
      <c r="E13" s="1011">
        <f t="shared" si="2"/>
        <v>0</v>
      </c>
      <c r="F13" s="1011">
        <f>'Table 4 Level 3'!P12</f>
        <v>756.91999999999985</v>
      </c>
      <c r="G13" s="1011">
        <f t="shared" si="3"/>
        <v>0</v>
      </c>
      <c r="H13" s="982">
        <f t="shared" si="4"/>
        <v>0</v>
      </c>
      <c r="I13" s="1021">
        <f t="shared" si="5"/>
        <v>0</v>
      </c>
      <c r="J13" s="982">
        <f t="shared" si="6"/>
        <v>0</v>
      </c>
      <c r="K13" s="982">
        <v>0</v>
      </c>
      <c r="L13" s="982">
        <f t="shared" si="7"/>
        <v>0</v>
      </c>
      <c r="M13" s="982">
        <f t="shared" si="8"/>
        <v>0</v>
      </c>
      <c r="N13" s="981">
        <f>'Table 5C1A-Madison Prep'!N13</f>
        <v>11329</v>
      </c>
      <c r="O13" s="983">
        <f t="shared" si="9"/>
        <v>0</v>
      </c>
      <c r="P13" s="1029">
        <f t="shared" si="10"/>
        <v>0</v>
      </c>
      <c r="Q13" s="983">
        <f t="shared" si="11"/>
        <v>0</v>
      </c>
      <c r="R13" s="983">
        <v>0</v>
      </c>
      <c r="S13" s="983">
        <f t="shared" si="12"/>
        <v>0</v>
      </c>
      <c r="T13" s="983">
        <f t="shared" si="13"/>
        <v>0</v>
      </c>
      <c r="U13" s="984">
        <f t="shared" si="14"/>
        <v>0</v>
      </c>
      <c r="V13" s="984">
        <f t="shared" si="14"/>
        <v>0</v>
      </c>
    </row>
    <row r="14" spans="1:22">
      <c r="A14" s="960">
        <v>8</v>
      </c>
      <c r="B14" s="961" t="s">
        <v>100</v>
      </c>
      <c r="C14" s="1078">
        <f>'2-1-13 SIS'!K14</f>
        <v>0</v>
      </c>
      <c r="D14" s="962">
        <f>'Table 3 Levels 1&amp;2'!AL15</f>
        <v>4289.5073606712331</v>
      </c>
      <c r="E14" s="1011">
        <f t="shared" si="2"/>
        <v>0</v>
      </c>
      <c r="F14" s="1011">
        <f>'Table 4 Level 3'!P13</f>
        <v>725.76</v>
      </c>
      <c r="G14" s="1011">
        <f t="shared" si="3"/>
        <v>0</v>
      </c>
      <c r="H14" s="982">
        <f t="shared" si="4"/>
        <v>0</v>
      </c>
      <c r="I14" s="1021">
        <f t="shared" si="5"/>
        <v>0</v>
      </c>
      <c r="J14" s="982">
        <f t="shared" si="6"/>
        <v>0</v>
      </c>
      <c r="K14" s="982">
        <v>0</v>
      </c>
      <c r="L14" s="982">
        <f t="shared" si="7"/>
        <v>0</v>
      </c>
      <c r="M14" s="982">
        <f t="shared" si="8"/>
        <v>0</v>
      </c>
      <c r="N14" s="981">
        <f>'Table 5C1A-Madison Prep'!N14</f>
        <v>3915</v>
      </c>
      <c r="O14" s="983">
        <f t="shared" si="9"/>
        <v>0</v>
      </c>
      <c r="P14" s="1029">
        <f t="shared" si="10"/>
        <v>0</v>
      </c>
      <c r="Q14" s="983">
        <f t="shared" si="11"/>
        <v>0</v>
      </c>
      <c r="R14" s="983">
        <v>0</v>
      </c>
      <c r="S14" s="983">
        <f t="shared" si="12"/>
        <v>0</v>
      </c>
      <c r="T14" s="983">
        <f t="shared" si="13"/>
        <v>0</v>
      </c>
      <c r="U14" s="984">
        <f t="shared" si="14"/>
        <v>0</v>
      </c>
      <c r="V14" s="984">
        <f t="shared" si="14"/>
        <v>0</v>
      </c>
    </row>
    <row r="15" spans="1:22">
      <c r="A15" s="960">
        <v>9</v>
      </c>
      <c r="B15" s="961" t="s">
        <v>101</v>
      </c>
      <c r="C15" s="1078">
        <f>'2-1-13 SIS'!K15</f>
        <v>0</v>
      </c>
      <c r="D15" s="962">
        <f>'Table 3 Levels 1&amp;2'!AL16</f>
        <v>4395.6154516889328</v>
      </c>
      <c r="E15" s="1011">
        <f t="shared" si="2"/>
        <v>0</v>
      </c>
      <c r="F15" s="1011">
        <f>'Table 4 Level 3'!P14</f>
        <v>744.76</v>
      </c>
      <c r="G15" s="1011">
        <f t="shared" si="3"/>
        <v>0</v>
      </c>
      <c r="H15" s="982">
        <f t="shared" si="4"/>
        <v>0</v>
      </c>
      <c r="I15" s="1021">
        <f t="shared" si="5"/>
        <v>0</v>
      </c>
      <c r="J15" s="982">
        <f t="shared" si="6"/>
        <v>0</v>
      </c>
      <c r="K15" s="982">
        <v>0</v>
      </c>
      <c r="L15" s="982">
        <f t="shared" si="7"/>
        <v>0</v>
      </c>
      <c r="M15" s="982">
        <f t="shared" si="8"/>
        <v>0</v>
      </c>
      <c r="N15" s="981">
        <f>'Table 5C1A-Madison Prep'!N15</f>
        <v>4627</v>
      </c>
      <c r="O15" s="983">
        <f t="shared" si="9"/>
        <v>0</v>
      </c>
      <c r="P15" s="1029">
        <f t="shared" si="10"/>
        <v>0</v>
      </c>
      <c r="Q15" s="983">
        <f t="shared" si="11"/>
        <v>0</v>
      </c>
      <c r="R15" s="983">
        <v>0</v>
      </c>
      <c r="S15" s="983">
        <f t="shared" si="12"/>
        <v>0</v>
      </c>
      <c r="T15" s="983">
        <f t="shared" si="13"/>
        <v>0</v>
      </c>
      <c r="U15" s="984">
        <f t="shared" si="14"/>
        <v>0</v>
      </c>
      <c r="V15" s="984">
        <f t="shared" si="14"/>
        <v>0</v>
      </c>
    </row>
    <row r="16" spans="1:22">
      <c r="A16" s="963">
        <v>10</v>
      </c>
      <c r="B16" s="964" t="s">
        <v>102</v>
      </c>
      <c r="C16" s="1079">
        <f>'2-1-13 SIS'!K16</f>
        <v>0</v>
      </c>
      <c r="D16" s="965">
        <f>'Table 3 Levels 1&amp;2'!AL17</f>
        <v>4253.5980618992444</v>
      </c>
      <c r="E16" s="1012">
        <f t="shared" si="2"/>
        <v>0</v>
      </c>
      <c r="F16" s="1012">
        <f>'Table 4 Level 3'!P15</f>
        <v>608.04000000000008</v>
      </c>
      <c r="G16" s="1012">
        <f t="shared" si="3"/>
        <v>0</v>
      </c>
      <c r="H16" s="985">
        <f t="shared" si="4"/>
        <v>0</v>
      </c>
      <c r="I16" s="1022">
        <f t="shared" si="5"/>
        <v>0</v>
      </c>
      <c r="J16" s="985">
        <f t="shared" si="6"/>
        <v>0</v>
      </c>
      <c r="K16" s="985">
        <v>0</v>
      </c>
      <c r="L16" s="985">
        <f t="shared" si="7"/>
        <v>0</v>
      </c>
      <c r="M16" s="985">
        <f t="shared" si="8"/>
        <v>0</v>
      </c>
      <c r="N16" s="986">
        <f>'Table 5C1A-Madison Prep'!N16</f>
        <v>4489</v>
      </c>
      <c r="O16" s="987">
        <f t="shared" si="9"/>
        <v>0</v>
      </c>
      <c r="P16" s="1030">
        <f t="shared" si="10"/>
        <v>0</v>
      </c>
      <c r="Q16" s="987">
        <f t="shared" si="11"/>
        <v>0</v>
      </c>
      <c r="R16" s="987">
        <v>0</v>
      </c>
      <c r="S16" s="987">
        <f t="shared" si="12"/>
        <v>0</v>
      </c>
      <c r="T16" s="987">
        <f t="shared" si="13"/>
        <v>0</v>
      </c>
      <c r="U16" s="988">
        <f t="shared" si="14"/>
        <v>0</v>
      </c>
      <c r="V16" s="988">
        <f t="shared" si="14"/>
        <v>0</v>
      </c>
    </row>
    <row r="17" spans="1:22">
      <c r="A17" s="953">
        <v>11</v>
      </c>
      <c r="B17" s="954" t="s">
        <v>103</v>
      </c>
      <c r="C17" s="1080">
        <f>'2-1-13 SIS'!K17</f>
        <v>0</v>
      </c>
      <c r="D17" s="956">
        <f>'Table 3 Levels 1&amp;2'!AL18</f>
        <v>6852.9138435383502</v>
      </c>
      <c r="E17" s="1010">
        <f t="shared" si="2"/>
        <v>0</v>
      </c>
      <c r="F17" s="1010">
        <f>'Table 4 Level 3'!P16</f>
        <v>706.55</v>
      </c>
      <c r="G17" s="1010">
        <f t="shared" si="3"/>
        <v>0</v>
      </c>
      <c r="H17" s="957">
        <f t="shared" si="4"/>
        <v>0</v>
      </c>
      <c r="I17" s="1020">
        <f t="shared" si="5"/>
        <v>0</v>
      </c>
      <c r="J17" s="957">
        <f t="shared" si="6"/>
        <v>0</v>
      </c>
      <c r="K17" s="957">
        <v>0</v>
      </c>
      <c r="L17" s="957">
        <f t="shared" si="7"/>
        <v>0</v>
      </c>
      <c r="M17" s="957">
        <f t="shared" si="8"/>
        <v>0</v>
      </c>
      <c r="N17" s="981">
        <f>'Table 5C1A-Madison Prep'!N17</f>
        <v>3654</v>
      </c>
      <c r="O17" s="958">
        <f t="shared" si="9"/>
        <v>0</v>
      </c>
      <c r="P17" s="1028">
        <f t="shared" si="10"/>
        <v>0</v>
      </c>
      <c r="Q17" s="958">
        <f t="shared" si="11"/>
        <v>0</v>
      </c>
      <c r="R17" s="958">
        <v>0</v>
      </c>
      <c r="S17" s="958">
        <f t="shared" si="12"/>
        <v>0</v>
      </c>
      <c r="T17" s="958">
        <f t="shared" si="13"/>
        <v>0</v>
      </c>
      <c r="U17" s="959">
        <f t="shared" si="14"/>
        <v>0</v>
      </c>
      <c r="V17" s="959">
        <f t="shared" si="14"/>
        <v>0</v>
      </c>
    </row>
    <row r="18" spans="1:22">
      <c r="A18" s="960">
        <v>12</v>
      </c>
      <c r="B18" s="961" t="s">
        <v>104</v>
      </c>
      <c r="C18" s="1078">
        <f>'2-1-13 SIS'!K18</f>
        <v>0</v>
      </c>
      <c r="D18" s="962">
        <f>'Table 3 Levels 1&amp;2'!AL19</f>
        <v>1733.9056059356967</v>
      </c>
      <c r="E18" s="1011">
        <f t="shared" si="2"/>
        <v>0</v>
      </c>
      <c r="F18" s="1011">
        <f>'Table 4 Level 3'!P17</f>
        <v>1063.31</v>
      </c>
      <c r="G18" s="1011">
        <f t="shared" si="3"/>
        <v>0</v>
      </c>
      <c r="H18" s="982">
        <f t="shared" si="4"/>
        <v>0</v>
      </c>
      <c r="I18" s="1021">
        <f t="shared" si="5"/>
        <v>0</v>
      </c>
      <c r="J18" s="982">
        <f t="shared" si="6"/>
        <v>0</v>
      </c>
      <c r="K18" s="982">
        <v>0</v>
      </c>
      <c r="L18" s="982">
        <f t="shared" si="7"/>
        <v>0</v>
      </c>
      <c r="M18" s="982">
        <f t="shared" si="8"/>
        <v>0</v>
      </c>
      <c r="N18" s="981">
        <f>'Table 5C1A-Madison Prep'!N18</f>
        <v>13767</v>
      </c>
      <c r="O18" s="983">
        <f t="shared" si="9"/>
        <v>0</v>
      </c>
      <c r="P18" s="1029">
        <f t="shared" si="10"/>
        <v>0</v>
      </c>
      <c r="Q18" s="983">
        <f t="shared" si="11"/>
        <v>0</v>
      </c>
      <c r="R18" s="983">
        <v>0</v>
      </c>
      <c r="S18" s="983">
        <f t="shared" si="12"/>
        <v>0</v>
      </c>
      <c r="T18" s="983">
        <f t="shared" si="13"/>
        <v>0</v>
      </c>
      <c r="U18" s="984">
        <f t="shared" si="14"/>
        <v>0</v>
      </c>
      <c r="V18" s="984">
        <f t="shared" si="14"/>
        <v>0</v>
      </c>
    </row>
    <row r="19" spans="1:22">
      <c r="A19" s="960">
        <v>13</v>
      </c>
      <c r="B19" s="961" t="s">
        <v>105</v>
      </c>
      <c r="C19" s="1078">
        <f>'2-1-13 SIS'!K19</f>
        <v>0</v>
      </c>
      <c r="D19" s="962">
        <f>'Table 3 Levels 1&amp;2'!AL20</f>
        <v>6254.1238637730876</v>
      </c>
      <c r="E19" s="1011">
        <f t="shared" si="2"/>
        <v>0</v>
      </c>
      <c r="F19" s="1011">
        <f>'Table 4 Level 3'!P18</f>
        <v>749.43000000000006</v>
      </c>
      <c r="G19" s="1011">
        <f t="shared" si="3"/>
        <v>0</v>
      </c>
      <c r="H19" s="982">
        <f t="shared" si="4"/>
        <v>0</v>
      </c>
      <c r="I19" s="1021">
        <f t="shared" si="5"/>
        <v>0</v>
      </c>
      <c r="J19" s="982">
        <f t="shared" si="6"/>
        <v>0</v>
      </c>
      <c r="K19" s="982">
        <v>0</v>
      </c>
      <c r="L19" s="982">
        <f t="shared" si="7"/>
        <v>0</v>
      </c>
      <c r="M19" s="982">
        <f t="shared" si="8"/>
        <v>0</v>
      </c>
      <c r="N19" s="981">
        <f>'Table 5C1A-Madison Prep'!N19</f>
        <v>2525</v>
      </c>
      <c r="O19" s="983">
        <f t="shared" si="9"/>
        <v>0</v>
      </c>
      <c r="P19" s="1029">
        <f t="shared" si="10"/>
        <v>0</v>
      </c>
      <c r="Q19" s="983">
        <f t="shared" si="11"/>
        <v>0</v>
      </c>
      <c r="R19" s="983">
        <v>0</v>
      </c>
      <c r="S19" s="983">
        <f t="shared" si="12"/>
        <v>0</v>
      </c>
      <c r="T19" s="983">
        <f t="shared" si="13"/>
        <v>0</v>
      </c>
      <c r="U19" s="984">
        <f t="shared" si="14"/>
        <v>0</v>
      </c>
      <c r="V19" s="984">
        <f t="shared" si="14"/>
        <v>0</v>
      </c>
    </row>
    <row r="20" spans="1:22">
      <c r="A20" s="960">
        <v>14</v>
      </c>
      <c r="B20" s="961" t="s">
        <v>106</v>
      </c>
      <c r="C20" s="1078">
        <f>'2-1-13 SIS'!K20</f>
        <v>0</v>
      </c>
      <c r="D20" s="962">
        <f>'Table 3 Levels 1&amp;2'!AL21</f>
        <v>5377.9187438545459</v>
      </c>
      <c r="E20" s="1011">
        <f t="shared" si="2"/>
        <v>0</v>
      </c>
      <c r="F20" s="1011">
        <f>'Table 4 Level 3'!P19</f>
        <v>809.9799999999999</v>
      </c>
      <c r="G20" s="1011">
        <f t="shared" si="3"/>
        <v>0</v>
      </c>
      <c r="H20" s="982">
        <f t="shared" si="4"/>
        <v>0</v>
      </c>
      <c r="I20" s="1021">
        <f t="shared" si="5"/>
        <v>0</v>
      </c>
      <c r="J20" s="982">
        <f t="shared" si="6"/>
        <v>0</v>
      </c>
      <c r="K20" s="982">
        <v>0</v>
      </c>
      <c r="L20" s="982">
        <f t="shared" si="7"/>
        <v>0</v>
      </c>
      <c r="M20" s="982">
        <f t="shared" si="8"/>
        <v>0</v>
      </c>
      <c r="N20" s="981">
        <f>'Table 5C1A-Madison Prep'!N20</f>
        <v>3988</v>
      </c>
      <c r="O20" s="983">
        <f t="shared" si="9"/>
        <v>0</v>
      </c>
      <c r="P20" s="1029">
        <f t="shared" si="10"/>
        <v>0</v>
      </c>
      <c r="Q20" s="983">
        <f t="shared" si="11"/>
        <v>0</v>
      </c>
      <c r="R20" s="983">
        <v>0</v>
      </c>
      <c r="S20" s="983">
        <f t="shared" si="12"/>
        <v>0</v>
      </c>
      <c r="T20" s="983">
        <f t="shared" si="13"/>
        <v>0</v>
      </c>
      <c r="U20" s="984">
        <f t="shared" si="14"/>
        <v>0</v>
      </c>
      <c r="V20" s="984">
        <f t="shared" si="14"/>
        <v>0</v>
      </c>
    </row>
    <row r="21" spans="1:22">
      <c r="A21" s="963">
        <v>15</v>
      </c>
      <c r="B21" s="964" t="s">
        <v>107</v>
      </c>
      <c r="C21" s="1079">
        <f>'2-1-13 SIS'!K21</f>
        <v>0</v>
      </c>
      <c r="D21" s="965">
        <f>'Table 3 Levels 1&amp;2'!AL22</f>
        <v>5527.7651197617861</v>
      </c>
      <c r="E21" s="1012">
        <f t="shared" si="2"/>
        <v>0</v>
      </c>
      <c r="F21" s="1012">
        <f>'Table 4 Level 3'!P20</f>
        <v>553.79999999999995</v>
      </c>
      <c r="G21" s="1012">
        <f t="shared" si="3"/>
        <v>0</v>
      </c>
      <c r="H21" s="985">
        <f t="shared" si="4"/>
        <v>0</v>
      </c>
      <c r="I21" s="1022">
        <f t="shared" si="5"/>
        <v>0</v>
      </c>
      <c r="J21" s="985">
        <f t="shared" si="6"/>
        <v>0</v>
      </c>
      <c r="K21" s="985">
        <v>0</v>
      </c>
      <c r="L21" s="985">
        <f t="shared" si="7"/>
        <v>0</v>
      </c>
      <c r="M21" s="985">
        <f t="shared" si="8"/>
        <v>0</v>
      </c>
      <c r="N21" s="986">
        <f>'Table 5C1A-Madison Prep'!N21</f>
        <v>2544</v>
      </c>
      <c r="O21" s="987">
        <f t="shared" si="9"/>
        <v>0</v>
      </c>
      <c r="P21" s="1030">
        <f t="shared" si="10"/>
        <v>0</v>
      </c>
      <c r="Q21" s="987">
        <f t="shared" si="11"/>
        <v>0</v>
      </c>
      <c r="R21" s="987">
        <v>0</v>
      </c>
      <c r="S21" s="987">
        <f t="shared" si="12"/>
        <v>0</v>
      </c>
      <c r="T21" s="987">
        <f t="shared" si="13"/>
        <v>0</v>
      </c>
      <c r="U21" s="988">
        <f t="shared" si="14"/>
        <v>0</v>
      </c>
      <c r="V21" s="988">
        <f t="shared" si="14"/>
        <v>0</v>
      </c>
    </row>
    <row r="22" spans="1:22">
      <c r="A22" s="953">
        <v>16</v>
      </c>
      <c r="B22" s="954" t="s">
        <v>108</v>
      </c>
      <c r="C22" s="1080">
        <f>'2-1-13 SIS'!K22</f>
        <v>0</v>
      </c>
      <c r="D22" s="956">
        <f>'Table 3 Levels 1&amp;2'!AL23</f>
        <v>1530.3678845377474</v>
      </c>
      <c r="E22" s="1010">
        <f t="shared" si="2"/>
        <v>0</v>
      </c>
      <c r="F22" s="1010">
        <f>'Table 4 Level 3'!P21</f>
        <v>686.73</v>
      </c>
      <c r="G22" s="1010">
        <f t="shared" si="3"/>
        <v>0</v>
      </c>
      <c r="H22" s="957">
        <f t="shared" si="4"/>
        <v>0</v>
      </c>
      <c r="I22" s="1020">
        <f t="shared" si="5"/>
        <v>0</v>
      </c>
      <c r="J22" s="957">
        <f t="shared" si="6"/>
        <v>0</v>
      </c>
      <c r="K22" s="957">
        <v>0</v>
      </c>
      <c r="L22" s="957">
        <f t="shared" si="7"/>
        <v>0</v>
      </c>
      <c r="M22" s="957">
        <f t="shared" si="8"/>
        <v>0</v>
      </c>
      <c r="N22" s="981">
        <f>'Table 5C1A-Madison Prep'!N22</f>
        <v>12132</v>
      </c>
      <c r="O22" s="958">
        <f t="shared" si="9"/>
        <v>0</v>
      </c>
      <c r="P22" s="1028">
        <f t="shared" si="10"/>
        <v>0</v>
      </c>
      <c r="Q22" s="958">
        <f t="shared" si="11"/>
        <v>0</v>
      </c>
      <c r="R22" s="958">
        <v>0</v>
      </c>
      <c r="S22" s="958">
        <f t="shared" si="12"/>
        <v>0</v>
      </c>
      <c r="T22" s="958">
        <f t="shared" si="13"/>
        <v>0</v>
      </c>
      <c r="U22" s="959">
        <f t="shared" si="14"/>
        <v>0</v>
      </c>
      <c r="V22" s="959">
        <f t="shared" si="14"/>
        <v>0</v>
      </c>
    </row>
    <row r="23" spans="1:22">
      <c r="A23" s="960">
        <v>17</v>
      </c>
      <c r="B23" s="961" t="s">
        <v>109</v>
      </c>
      <c r="C23" s="1078">
        <f>'2-1-13 SIS'!K23</f>
        <v>0</v>
      </c>
      <c r="D23" s="962">
        <f>'Table 3 Levels 1&amp;2'!AL24</f>
        <v>3313.0666313017805</v>
      </c>
      <c r="E23" s="1011">
        <f t="shared" si="2"/>
        <v>0</v>
      </c>
      <c r="F23" s="1011">
        <f>'Table 5B2_RSD_LA'!F7</f>
        <v>801.47762416806802</v>
      </c>
      <c r="G23" s="1011">
        <f t="shared" si="3"/>
        <v>0</v>
      </c>
      <c r="H23" s="982">
        <f t="shared" si="4"/>
        <v>0</v>
      </c>
      <c r="I23" s="1021">
        <f t="shared" si="5"/>
        <v>0</v>
      </c>
      <c r="J23" s="982">
        <f t="shared" si="6"/>
        <v>0</v>
      </c>
      <c r="K23" s="982">
        <v>0</v>
      </c>
      <c r="L23" s="982">
        <f t="shared" si="7"/>
        <v>0</v>
      </c>
      <c r="M23" s="982">
        <f t="shared" si="8"/>
        <v>0</v>
      </c>
      <c r="N23" s="981">
        <f>'Table 5C1A-Madison Prep'!N23</f>
        <v>6764</v>
      </c>
      <c r="O23" s="983">
        <f t="shared" si="9"/>
        <v>0</v>
      </c>
      <c r="P23" s="1029">
        <f t="shared" si="10"/>
        <v>0</v>
      </c>
      <c r="Q23" s="983">
        <f t="shared" si="11"/>
        <v>0</v>
      </c>
      <c r="R23" s="983">
        <v>0</v>
      </c>
      <c r="S23" s="983">
        <f t="shared" si="12"/>
        <v>0</v>
      </c>
      <c r="T23" s="983">
        <f t="shared" si="13"/>
        <v>0</v>
      </c>
      <c r="U23" s="984">
        <f t="shared" si="14"/>
        <v>0</v>
      </c>
      <c r="V23" s="984">
        <f t="shared" si="14"/>
        <v>0</v>
      </c>
    </row>
    <row r="24" spans="1:22">
      <c r="A24" s="960">
        <v>18</v>
      </c>
      <c r="B24" s="961" t="s">
        <v>110</v>
      </c>
      <c r="C24" s="1078">
        <f>'2-1-13 SIS'!K24</f>
        <v>0</v>
      </c>
      <c r="D24" s="962">
        <f>'Table 3 Levels 1&amp;2'!AL25</f>
        <v>5989.1351892854573</v>
      </c>
      <c r="E24" s="1011">
        <f t="shared" si="2"/>
        <v>0</v>
      </c>
      <c r="F24" s="1011">
        <f>'Table 4 Level 3'!P23</f>
        <v>845.94999999999993</v>
      </c>
      <c r="G24" s="1011">
        <f t="shared" si="3"/>
        <v>0</v>
      </c>
      <c r="H24" s="982">
        <f t="shared" si="4"/>
        <v>0</v>
      </c>
      <c r="I24" s="1021">
        <f t="shared" si="5"/>
        <v>0</v>
      </c>
      <c r="J24" s="982">
        <f t="shared" si="6"/>
        <v>0</v>
      </c>
      <c r="K24" s="982">
        <v>0</v>
      </c>
      <c r="L24" s="982">
        <f t="shared" si="7"/>
        <v>0</v>
      </c>
      <c r="M24" s="982">
        <f t="shared" si="8"/>
        <v>0</v>
      </c>
      <c r="N24" s="981">
        <f>'Table 5C1A-Madison Prep'!N24</f>
        <v>2925</v>
      </c>
      <c r="O24" s="983">
        <f t="shared" si="9"/>
        <v>0</v>
      </c>
      <c r="P24" s="1029">
        <f t="shared" si="10"/>
        <v>0</v>
      </c>
      <c r="Q24" s="983">
        <f t="shared" si="11"/>
        <v>0</v>
      </c>
      <c r="R24" s="983">
        <v>0</v>
      </c>
      <c r="S24" s="983">
        <f t="shared" si="12"/>
        <v>0</v>
      </c>
      <c r="T24" s="983">
        <f t="shared" si="13"/>
        <v>0</v>
      </c>
      <c r="U24" s="984">
        <f t="shared" si="14"/>
        <v>0</v>
      </c>
      <c r="V24" s="984">
        <f t="shared" si="14"/>
        <v>0</v>
      </c>
    </row>
    <row r="25" spans="1:22">
      <c r="A25" s="960">
        <v>19</v>
      </c>
      <c r="B25" s="961" t="s">
        <v>111</v>
      </c>
      <c r="C25" s="1078">
        <f>'2-1-13 SIS'!K25</f>
        <v>0</v>
      </c>
      <c r="D25" s="962">
        <f>'Table 3 Levels 1&amp;2'!AL26</f>
        <v>5315.8913399708035</v>
      </c>
      <c r="E25" s="1011">
        <f t="shared" si="2"/>
        <v>0</v>
      </c>
      <c r="F25" s="1011">
        <f>'Table 4 Level 3'!P24</f>
        <v>905.43</v>
      </c>
      <c r="G25" s="1011">
        <f t="shared" si="3"/>
        <v>0</v>
      </c>
      <c r="H25" s="982">
        <f t="shared" si="4"/>
        <v>0</v>
      </c>
      <c r="I25" s="1021">
        <f t="shared" si="5"/>
        <v>0</v>
      </c>
      <c r="J25" s="982">
        <f t="shared" si="6"/>
        <v>0</v>
      </c>
      <c r="K25" s="982">
        <v>0</v>
      </c>
      <c r="L25" s="982">
        <f t="shared" si="7"/>
        <v>0</v>
      </c>
      <c r="M25" s="982">
        <f t="shared" si="8"/>
        <v>0</v>
      </c>
      <c r="N25" s="981">
        <f>'Table 5C1A-Madison Prep'!N25</f>
        <v>2570</v>
      </c>
      <c r="O25" s="983">
        <f t="shared" si="9"/>
        <v>0</v>
      </c>
      <c r="P25" s="1029">
        <f t="shared" si="10"/>
        <v>0</v>
      </c>
      <c r="Q25" s="983">
        <f t="shared" si="11"/>
        <v>0</v>
      </c>
      <c r="R25" s="983">
        <v>0</v>
      </c>
      <c r="S25" s="983">
        <f t="shared" si="12"/>
        <v>0</v>
      </c>
      <c r="T25" s="983">
        <f t="shared" si="13"/>
        <v>0</v>
      </c>
      <c r="U25" s="984">
        <f t="shared" si="14"/>
        <v>0</v>
      </c>
      <c r="V25" s="984">
        <f t="shared" si="14"/>
        <v>0</v>
      </c>
    </row>
    <row r="26" spans="1:22">
      <c r="A26" s="963">
        <v>20</v>
      </c>
      <c r="B26" s="964" t="s">
        <v>112</v>
      </c>
      <c r="C26" s="1079">
        <f>'2-1-13 SIS'!K26</f>
        <v>0</v>
      </c>
      <c r="D26" s="965">
        <f>'Table 3 Levels 1&amp;2'!AL27</f>
        <v>5420.2042919205833</v>
      </c>
      <c r="E26" s="1012">
        <f t="shared" si="2"/>
        <v>0</v>
      </c>
      <c r="F26" s="1012">
        <f>'Table 4 Level 3'!P25</f>
        <v>586.16999999999996</v>
      </c>
      <c r="G26" s="1012">
        <f t="shared" si="3"/>
        <v>0</v>
      </c>
      <c r="H26" s="985">
        <f t="shared" si="4"/>
        <v>0</v>
      </c>
      <c r="I26" s="1022">
        <f t="shared" si="5"/>
        <v>0</v>
      </c>
      <c r="J26" s="985">
        <f t="shared" si="6"/>
        <v>0</v>
      </c>
      <c r="K26" s="985">
        <v>0</v>
      </c>
      <c r="L26" s="985">
        <f t="shared" si="7"/>
        <v>0</v>
      </c>
      <c r="M26" s="985">
        <f t="shared" si="8"/>
        <v>0</v>
      </c>
      <c r="N26" s="986">
        <f>'Table 5C1A-Madison Prep'!N26</f>
        <v>2420</v>
      </c>
      <c r="O26" s="987">
        <f t="shared" si="9"/>
        <v>0</v>
      </c>
      <c r="P26" s="1030">
        <f t="shared" si="10"/>
        <v>0</v>
      </c>
      <c r="Q26" s="987">
        <f t="shared" si="11"/>
        <v>0</v>
      </c>
      <c r="R26" s="987">
        <v>0</v>
      </c>
      <c r="S26" s="987">
        <f t="shared" si="12"/>
        <v>0</v>
      </c>
      <c r="T26" s="987">
        <f t="shared" si="13"/>
        <v>0</v>
      </c>
      <c r="U26" s="988">
        <f t="shared" si="14"/>
        <v>0</v>
      </c>
      <c r="V26" s="988">
        <f t="shared" si="14"/>
        <v>0</v>
      </c>
    </row>
    <row r="27" spans="1:22">
      <c r="A27" s="953">
        <v>21</v>
      </c>
      <c r="B27" s="954" t="s">
        <v>113</v>
      </c>
      <c r="C27" s="1080">
        <f>'2-1-13 SIS'!K27</f>
        <v>0</v>
      </c>
      <c r="D27" s="956">
        <f>'Table 3 Levels 1&amp;2'!AL28</f>
        <v>5724.5404916279067</v>
      </c>
      <c r="E27" s="1010">
        <f t="shared" si="2"/>
        <v>0</v>
      </c>
      <c r="F27" s="1010">
        <f>'Table 4 Level 3'!P26</f>
        <v>610.35</v>
      </c>
      <c r="G27" s="1010">
        <f t="shared" si="3"/>
        <v>0</v>
      </c>
      <c r="H27" s="957">
        <f t="shared" si="4"/>
        <v>0</v>
      </c>
      <c r="I27" s="1020">
        <f t="shared" si="5"/>
        <v>0</v>
      </c>
      <c r="J27" s="957">
        <f t="shared" si="6"/>
        <v>0</v>
      </c>
      <c r="K27" s="957">
        <v>0</v>
      </c>
      <c r="L27" s="957">
        <f t="shared" si="7"/>
        <v>0</v>
      </c>
      <c r="M27" s="957">
        <f t="shared" si="8"/>
        <v>0</v>
      </c>
      <c r="N27" s="981">
        <f>'Table 5C1A-Madison Prep'!N27</f>
        <v>2265</v>
      </c>
      <c r="O27" s="958">
        <f t="shared" si="9"/>
        <v>0</v>
      </c>
      <c r="P27" s="1028">
        <f t="shared" si="10"/>
        <v>0</v>
      </c>
      <c r="Q27" s="958">
        <f t="shared" si="11"/>
        <v>0</v>
      </c>
      <c r="R27" s="958">
        <v>0</v>
      </c>
      <c r="S27" s="958">
        <f t="shared" si="12"/>
        <v>0</v>
      </c>
      <c r="T27" s="958">
        <f t="shared" si="13"/>
        <v>0</v>
      </c>
      <c r="U27" s="959">
        <f t="shared" si="14"/>
        <v>0</v>
      </c>
      <c r="V27" s="959">
        <f t="shared" si="14"/>
        <v>0</v>
      </c>
    </row>
    <row r="28" spans="1:22">
      <c r="A28" s="960">
        <v>22</v>
      </c>
      <c r="B28" s="961" t="s">
        <v>114</v>
      </c>
      <c r="C28" s="1078">
        <f>'2-1-13 SIS'!K28</f>
        <v>0</v>
      </c>
      <c r="D28" s="962">
        <f>'Table 3 Levels 1&amp;2'!AL29</f>
        <v>6203.2933768722742</v>
      </c>
      <c r="E28" s="1011">
        <f t="shared" si="2"/>
        <v>0</v>
      </c>
      <c r="F28" s="1011">
        <f>'Table 4 Level 3'!P27</f>
        <v>496.36</v>
      </c>
      <c r="G28" s="1011">
        <f t="shared" si="3"/>
        <v>0</v>
      </c>
      <c r="H28" s="982">
        <f t="shared" si="4"/>
        <v>0</v>
      </c>
      <c r="I28" s="1021">
        <f t="shared" si="5"/>
        <v>0</v>
      </c>
      <c r="J28" s="982">
        <f t="shared" si="6"/>
        <v>0</v>
      </c>
      <c r="K28" s="982">
        <v>0</v>
      </c>
      <c r="L28" s="982">
        <f t="shared" si="7"/>
        <v>0</v>
      </c>
      <c r="M28" s="982">
        <f t="shared" si="8"/>
        <v>0</v>
      </c>
      <c r="N28" s="981">
        <f>'Table 5C1A-Madison Prep'!N28</f>
        <v>1438</v>
      </c>
      <c r="O28" s="983">
        <f t="shared" si="9"/>
        <v>0</v>
      </c>
      <c r="P28" s="1029">
        <f t="shared" si="10"/>
        <v>0</v>
      </c>
      <c r="Q28" s="983">
        <f t="shared" si="11"/>
        <v>0</v>
      </c>
      <c r="R28" s="983">
        <v>0</v>
      </c>
      <c r="S28" s="983">
        <f t="shared" si="12"/>
        <v>0</v>
      </c>
      <c r="T28" s="983">
        <f t="shared" si="13"/>
        <v>0</v>
      </c>
      <c r="U28" s="984">
        <f t="shared" si="14"/>
        <v>0</v>
      </c>
      <c r="V28" s="984">
        <f t="shared" si="14"/>
        <v>0</v>
      </c>
    </row>
    <row r="29" spans="1:22">
      <c r="A29" s="960">
        <v>23</v>
      </c>
      <c r="B29" s="961" t="s">
        <v>115</v>
      </c>
      <c r="C29" s="1078">
        <f>'2-1-13 SIS'!K29</f>
        <v>0</v>
      </c>
      <c r="D29" s="962">
        <f>'Table 3 Levels 1&amp;2'!AL30</f>
        <v>4846.0802490067681</v>
      </c>
      <c r="E29" s="1011">
        <f t="shared" si="2"/>
        <v>0</v>
      </c>
      <c r="F29" s="1011">
        <f>'Table 4 Level 3'!P28</f>
        <v>688.58</v>
      </c>
      <c r="G29" s="1011">
        <f t="shared" si="3"/>
        <v>0</v>
      </c>
      <c r="H29" s="982">
        <f t="shared" si="4"/>
        <v>0</v>
      </c>
      <c r="I29" s="1021">
        <f t="shared" si="5"/>
        <v>0</v>
      </c>
      <c r="J29" s="982">
        <f t="shared" si="6"/>
        <v>0</v>
      </c>
      <c r="K29" s="982">
        <v>0</v>
      </c>
      <c r="L29" s="982">
        <f t="shared" si="7"/>
        <v>0</v>
      </c>
      <c r="M29" s="982">
        <f t="shared" si="8"/>
        <v>0</v>
      </c>
      <c r="N29" s="981">
        <f>'Table 5C1A-Madison Prep'!N29</f>
        <v>3386</v>
      </c>
      <c r="O29" s="983">
        <f t="shared" si="9"/>
        <v>0</v>
      </c>
      <c r="P29" s="1029">
        <f t="shared" si="10"/>
        <v>0</v>
      </c>
      <c r="Q29" s="983">
        <f t="shared" si="11"/>
        <v>0</v>
      </c>
      <c r="R29" s="983">
        <v>0</v>
      </c>
      <c r="S29" s="983">
        <f t="shared" si="12"/>
        <v>0</v>
      </c>
      <c r="T29" s="983">
        <f t="shared" si="13"/>
        <v>0</v>
      </c>
      <c r="U29" s="984">
        <f t="shared" si="14"/>
        <v>0</v>
      </c>
      <c r="V29" s="984">
        <f t="shared" si="14"/>
        <v>0</v>
      </c>
    </row>
    <row r="30" spans="1:22">
      <c r="A30" s="960">
        <v>24</v>
      </c>
      <c r="B30" s="961" t="s">
        <v>116</v>
      </c>
      <c r="C30" s="1078">
        <f>'2-1-13 SIS'!K30</f>
        <v>0</v>
      </c>
      <c r="D30" s="962">
        <f>'Table 3 Levels 1&amp;2'!AL31</f>
        <v>2764.1216755319151</v>
      </c>
      <c r="E30" s="1011">
        <f t="shared" si="2"/>
        <v>0</v>
      </c>
      <c r="F30" s="1011">
        <f>'Table 4 Level 3'!P29</f>
        <v>854.24999999999989</v>
      </c>
      <c r="G30" s="1011">
        <f t="shared" si="3"/>
        <v>0</v>
      </c>
      <c r="H30" s="982">
        <f t="shared" si="4"/>
        <v>0</v>
      </c>
      <c r="I30" s="1021">
        <f t="shared" si="5"/>
        <v>0</v>
      </c>
      <c r="J30" s="982">
        <f t="shared" si="6"/>
        <v>0</v>
      </c>
      <c r="K30" s="982">
        <v>0</v>
      </c>
      <c r="L30" s="982">
        <f t="shared" si="7"/>
        <v>0</v>
      </c>
      <c r="M30" s="982">
        <f t="shared" si="8"/>
        <v>0</v>
      </c>
      <c r="N30" s="981">
        <f>'Table 5C1A-Madison Prep'!N30</f>
        <v>9761</v>
      </c>
      <c r="O30" s="983">
        <f t="shared" si="9"/>
        <v>0</v>
      </c>
      <c r="P30" s="1029">
        <f t="shared" si="10"/>
        <v>0</v>
      </c>
      <c r="Q30" s="983">
        <f t="shared" si="11"/>
        <v>0</v>
      </c>
      <c r="R30" s="983">
        <v>0</v>
      </c>
      <c r="S30" s="983">
        <f t="shared" si="12"/>
        <v>0</v>
      </c>
      <c r="T30" s="983">
        <f t="shared" si="13"/>
        <v>0</v>
      </c>
      <c r="U30" s="984">
        <f t="shared" si="14"/>
        <v>0</v>
      </c>
      <c r="V30" s="984">
        <f t="shared" si="14"/>
        <v>0</v>
      </c>
    </row>
    <row r="31" spans="1:22">
      <c r="A31" s="963">
        <v>25</v>
      </c>
      <c r="B31" s="964" t="s">
        <v>117</v>
      </c>
      <c r="C31" s="1079">
        <f>'2-1-13 SIS'!K31</f>
        <v>0</v>
      </c>
      <c r="D31" s="965">
        <f>'Table 3 Levels 1&amp;2'!AL32</f>
        <v>3867.4480692053257</v>
      </c>
      <c r="E31" s="1012">
        <f t="shared" si="2"/>
        <v>0</v>
      </c>
      <c r="F31" s="1012">
        <f>'Table 4 Level 3'!P30</f>
        <v>653.73</v>
      </c>
      <c r="G31" s="1012">
        <f t="shared" si="3"/>
        <v>0</v>
      </c>
      <c r="H31" s="985">
        <f t="shared" si="4"/>
        <v>0</v>
      </c>
      <c r="I31" s="1022">
        <f t="shared" si="5"/>
        <v>0</v>
      </c>
      <c r="J31" s="985">
        <f t="shared" si="6"/>
        <v>0</v>
      </c>
      <c r="K31" s="985">
        <v>0</v>
      </c>
      <c r="L31" s="985">
        <f t="shared" si="7"/>
        <v>0</v>
      </c>
      <c r="M31" s="985">
        <f t="shared" si="8"/>
        <v>0</v>
      </c>
      <c r="N31" s="986">
        <f>'Table 5C1A-Madison Prep'!N31</f>
        <v>4842</v>
      </c>
      <c r="O31" s="987">
        <f t="shared" si="9"/>
        <v>0</v>
      </c>
      <c r="P31" s="1030">
        <f t="shared" si="10"/>
        <v>0</v>
      </c>
      <c r="Q31" s="987">
        <f t="shared" si="11"/>
        <v>0</v>
      </c>
      <c r="R31" s="987">
        <v>0</v>
      </c>
      <c r="S31" s="987">
        <f t="shared" si="12"/>
        <v>0</v>
      </c>
      <c r="T31" s="987">
        <f t="shared" si="13"/>
        <v>0</v>
      </c>
      <c r="U31" s="988">
        <f t="shared" si="14"/>
        <v>0</v>
      </c>
      <c r="V31" s="988">
        <f t="shared" si="14"/>
        <v>0</v>
      </c>
    </row>
    <row r="32" spans="1:22">
      <c r="A32" s="953">
        <v>26</v>
      </c>
      <c r="B32" s="954" t="s">
        <v>118</v>
      </c>
      <c r="C32" s="1080">
        <f>'2-1-13 SIS'!K32</f>
        <v>46</v>
      </c>
      <c r="D32" s="956">
        <f>'Table 3 Levels 1&amp;2'!AL33</f>
        <v>3293.481526790355</v>
      </c>
      <c r="E32" s="1010">
        <f t="shared" si="2"/>
        <v>151500.15023235633</v>
      </c>
      <c r="F32" s="1010">
        <f>'Table 4 Level 3'!P31</f>
        <v>836.83</v>
      </c>
      <c r="G32" s="1010">
        <f t="shared" si="3"/>
        <v>38494.18</v>
      </c>
      <c r="H32" s="957">
        <f t="shared" si="4"/>
        <v>189994.33023235633</v>
      </c>
      <c r="I32" s="1020">
        <f t="shared" si="5"/>
        <v>-474.98582558089083</v>
      </c>
      <c r="J32" s="957">
        <f t="shared" si="6"/>
        <v>189519.34440677543</v>
      </c>
      <c r="K32" s="957">
        <v>0</v>
      </c>
      <c r="L32" s="957">
        <f t="shared" si="7"/>
        <v>189519.34440677543</v>
      </c>
      <c r="M32" s="957">
        <f t="shared" si="8"/>
        <v>15793.278700564619</v>
      </c>
      <c r="N32" s="981">
        <f>'Table 5C1A-Madison Prep'!N32</f>
        <v>5301</v>
      </c>
      <c r="O32" s="958">
        <f t="shared" si="9"/>
        <v>243846</v>
      </c>
      <c r="P32" s="1028">
        <f t="shared" si="10"/>
        <v>-609.61500000000001</v>
      </c>
      <c r="Q32" s="958">
        <f t="shared" si="11"/>
        <v>243236.38500000001</v>
      </c>
      <c r="R32" s="958">
        <v>0</v>
      </c>
      <c r="S32" s="958">
        <f t="shared" si="12"/>
        <v>243236.38500000001</v>
      </c>
      <c r="T32" s="958">
        <f t="shared" si="13"/>
        <v>20269.69875</v>
      </c>
      <c r="U32" s="959">
        <f t="shared" si="14"/>
        <v>432755.72940677544</v>
      </c>
      <c r="V32" s="959">
        <f t="shared" si="14"/>
        <v>36062.97745056462</v>
      </c>
    </row>
    <row r="33" spans="1:22">
      <c r="A33" s="960">
        <v>27</v>
      </c>
      <c r="B33" s="961" t="s">
        <v>119</v>
      </c>
      <c r="C33" s="1081">
        <f>'2-1-13 SIS'!K33</f>
        <v>0</v>
      </c>
      <c r="D33" s="966">
        <f>'Table 3 Levels 1&amp;2'!AL34</f>
        <v>5680.7727517381973</v>
      </c>
      <c r="E33" s="1013">
        <f t="shared" si="2"/>
        <v>0</v>
      </c>
      <c r="F33" s="1013">
        <f>'Table 4 Level 3'!P32</f>
        <v>693.06</v>
      </c>
      <c r="G33" s="1013">
        <f t="shared" si="3"/>
        <v>0</v>
      </c>
      <c r="H33" s="989">
        <f t="shared" si="4"/>
        <v>0</v>
      </c>
      <c r="I33" s="1023">
        <f t="shared" si="5"/>
        <v>0</v>
      </c>
      <c r="J33" s="989">
        <f t="shared" si="6"/>
        <v>0</v>
      </c>
      <c r="K33" s="989">
        <v>0</v>
      </c>
      <c r="L33" s="989">
        <f t="shared" si="7"/>
        <v>0</v>
      </c>
      <c r="M33" s="989">
        <f t="shared" si="8"/>
        <v>0</v>
      </c>
      <c r="N33" s="981">
        <f>'Table 5C1A-Madison Prep'!N33</f>
        <v>3252</v>
      </c>
      <c r="O33" s="983">
        <f t="shared" si="9"/>
        <v>0</v>
      </c>
      <c r="P33" s="1029">
        <f t="shared" si="10"/>
        <v>0</v>
      </c>
      <c r="Q33" s="983">
        <f t="shared" si="11"/>
        <v>0</v>
      </c>
      <c r="R33" s="983">
        <v>0</v>
      </c>
      <c r="S33" s="983">
        <f t="shared" si="12"/>
        <v>0</v>
      </c>
      <c r="T33" s="983">
        <f t="shared" si="13"/>
        <v>0</v>
      </c>
      <c r="U33" s="984">
        <f t="shared" si="14"/>
        <v>0</v>
      </c>
      <c r="V33" s="984">
        <f t="shared" si="14"/>
        <v>0</v>
      </c>
    </row>
    <row r="34" spans="1:22">
      <c r="A34" s="960">
        <v>28</v>
      </c>
      <c r="B34" s="961" t="s">
        <v>120</v>
      </c>
      <c r="C34" s="1081">
        <f>'2-1-13 SIS'!K34</f>
        <v>0</v>
      </c>
      <c r="D34" s="966">
        <f>'Table 3 Levels 1&amp;2'!AL35</f>
        <v>3163.1694438483169</v>
      </c>
      <c r="E34" s="1013">
        <f t="shared" si="2"/>
        <v>0</v>
      </c>
      <c r="F34" s="1013">
        <f>'Table 4 Level 3'!P33</f>
        <v>694.4</v>
      </c>
      <c r="G34" s="1013">
        <f t="shared" si="3"/>
        <v>0</v>
      </c>
      <c r="H34" s="989">
        <f t="shared" si="4"/>
        <v>0</v>
      </c>
      <c r="I34" s="1023">
        <f t="shared" si="5"/>
        <v>0</v>
      </c>
      <c r="J34" s="989">
        <f t="shared" si="6"/>
        <v>0</v>
      </c>
      <c r="K34" s="989">
        <v>0</v>
      </c>
      <c r="L34" s="989">
        <f t="shared" si="7"/>
        <v>0</v>
      </c>
      <c r="M34" s="989">
        <f t="shared" si="8"/>
        <v>0</v>
      </c>
      <c r="N34" s="981">
        <f>'Table 5C1A-Madison Prep'!N34</f>
        <v>5361</v>
      </c>
      <c r="O34" s="983">
        <f t="shared" si="9"/>
        <v>0</v>
      </c>
      <c r="P34" s="1029">
        <f t="shared" si="10"/>
        <v>0</v>
      </c>
      <c r="Q34" s="983">
        <f t="shared" si="11"/>
        <v>0</v>
      </c>
      <c r="R34" s="983">
        <v>0</v>
      </c>
      <c r="S34" s="983">
        <f t="shared" si="12"/>
        <v>0</v>
      </c>
      <c r="T34" s="983">
        <f t="shared" si="13"/>
        <v>0</v>
      </c>
      <c r="U34" s="984">
        <f t="shared" si="14"/>
        <v>0</v>
      </c>
      <c r="V34" s="984">
        <f t="shared" si="14"/>
        <v>0</v>
      </c>
    </row>
    <row r="35" spans="1:22">
      <c r="A35" s="960">
        <v>29</v>
      </c>
      <c r="B35" s="961" t="s">
        <v>121</v>
      </c>
      <c r="C35" s="1081">
        <f>'2-1-13 SIS'!K35</f>
        <v>0</v>
      </c>
      <c r="D35" s="966">
        <f>'Table 3 Levels 1&amp;2'!AL36</f>
        <v>3952.5586133052648</v>
      </c>
      <c r="E35" s="1013">
        <f t="shared" si="2"/>
        <v>0</v>
      </c>
      <c r="F35" s="1013">
        <f>'Table 4 Level 3'!P34</f>
        <v>754.94999999999993</v>
      </c>
      <c r="G35" s="1013">
        <f t="shared" si="3"/>
        <v>0</v>
      </c>
      <c r="H35" s="989">
        <f t="shared" si="4"/>
        <v>0</v>
      </c>
      <c r="I35" s="1023">
        <f t="shared" si="5"/>
        <v>0</v>
      </c>
      <c r="J35" s="989">
        <f t="shared" si="6"/>
        <v>0</v>
      </c>
      <c r="K35" s="989">
        <v>0</v>
      </c>
      <c r="L35" s="989">
        <f t="shared" si="7"/>
        <v>0</v>
      </c>
      <c r="M35" s="989">
        <f t="shared" si="8"/>
        <v>0</v>
      </c>
      <c r="N35" s="981">
        <f>'Table 5C1A-Madison Prep'!N35</f>
        <v>4763</v>
      </c>
      <c r="O35" s="983">
        <f t="shared" si="9"/>
        <v>0</v>
      </c>
      <c r="P35" s="1029">
        <f t="shared" si="10"/>
        <v>0</v>
      </c>
      <c r="Q35" s="983">
        <f t="shared" si="11"/>
        <v>0</v>
      </c>
      <c r="R35" s="983">
        <v>0</v>
      </c>
      <c r="S35" s="983">
        <f t="shared" si="12"/>
        <v>0</v>
      </c>
      <c r="T35" s="983">
        <f t="shared" si="13"/>
        <v>0</v>
      </c>
      <c r="U35" s="984">
        <f t="shared" si="14"/>
        <v>0</v>
      </c>
      <c r="V35" s="984">
        <f t="shared" si="14"/>
        <v>0</v>
      </c>
    </row>
    <row r="36" spans="1:22">
      <c r="A36" s="963">
        <v>30</v>
      </c>
      <c r="B36" s="964" t="s">
        <v>122</v>
      </c>
      <c r="C36" s="1082">
        <f>'2-1-13 SIS'!K36</f>
        <v>0</v>
      </c>
      <c r="D36" s="967">
        <f>'Table 3 Levels 1&amp;2'!AL37</f>
        <v>5648.6510465852989</v>
      </c>
      <c r="E36" s="1014">
        <f t="shared" si="2"/>
        <v>0</v>
      </c>
      <c r="F36" s="1014">
        <f>'Table 4 Level 3'!P35</f>
        <v>727.17</v>
      </c>
      <c r="G36" s="1014">
        <f t="shared" si="3"/>
        <v>0</v>
      </c>
      <c r="H36" s="990">
        <f t="shared" si="4"/>
        <v>0</v>
      </c>
      <c r="I36" s="1024">
        <f t="shared" si="5"/>
        <v>0</v>
      </c>
      <c r="J36" s="990">
        <f t="shared" si="6"/>
        <v>0</v>
      </c>
      <c r="K36" s="990">
        <v>0</v>
      </c>
      <c r="L36" s="990">
        <f t="shared" si="7"/>
        <v>0</v>
      </c>
      <c r="M36" s="990">
        <f t="shared" si="8"/>
        <v>0</v>
      </c>
      <c r="N36" s="986">
        <f>'Table 5C1A-Madison Prep'!N36</f>
        <v>3236</v>
      </c>
      <c r="O36" s="987">
        <f t="shared" si="9"/>
        <v>0</v>
      </c>
      <c r="P36" s="1030">
        <f t="shared" si="10"/>
        <v>0</v>
      </c>
      <c r="Q36" s="987">
        <f t="shared" si="11"/>
        <v>0</v>
      </c>
      <c r="R36" s="987">
        <v>0</v>
      </c>
      <c r="S36" s="987">
        <f t="shared" si="12"/>
        <v>0</v>
      </c>
      <c r="T36" s="987">
        <f t="shared" si="13"/>
        <v>0</v>
      </c>
      <c r="U36" s="988">
        <f t="shared" si="14"/>
        <v>0</v>
      </c>
      <c r="V36" s="988">
        <f t="shared" si="14"/>
        <v>0</v>
      </c>
    </row>
    <row r="37" spans="1:22">
      <c r="A37" s="953">
        <v>31</v>
      </c>
      <c r="B37" s="954" t="s">
        <v>123</v>
      </c>
      <c r="C37" s="1083">
        <f>'2-1-13 SIS'!K37</f>
        <v>0</v>
      </c>
      <c r="D37" s="968">
        <f>'Table 3 Levels 1&amp;2'!AL38</f>
        <v>4348.9307899232972</v>
      </c>
      <c r="E37" s="1015">
        <f t="shared" si="2"/>
        <v>0</v>
      </c>
      <c r="F37" s="1015">
        <f>'Table 4 Level 3'!P36</f>
        <v>620.83000000000004</v>
      </c>
      <c r="G37" s="1015">
        <f t="shared" si="3"/>
        <v>0</v>
      </c>
      <c r="H37" s="991">
        <f t="shared" si="4"/>
        <v>0</v>
      </c>
      <c r="I37" s="1025">
        <f t="shared" si="5"/>
        <v>0</v>
      </c>
      <c r="J37" s="991">
        <f t="shared" si="6"/>
        <v>0</v>
      </c>
      <c r="K37" s="991">
        <v>0</v>
      </c>
      <c r="L37" s="991">
        <f t="shared" si="7"/>
        <v>0</v>
      </c>
      <c r="M37" s="991">
        <f t="shared" si="8"/>
        <v>0</v>
      </c>
      <c r="N37" s="981">
        <f>'Table 5C1A-Madison Prep'!N37</f>
        <v>4795</v>
      </c>
      <c r="O37" s="958">
        <f t="shared" si="9"/>
        <v>0</v>
      </c>
      <c r="P37" s="1028">
        <f t="shared" si="10"/>
        <v>0</v>
      </c>
      <c r="Q37" s="958">
        <f t="shared" si="11"/>
        <v>0</v>
      </c>
      <c r="R37" s="958">
        <v>0</v>
      </c>
      <c r="S37" s="958">
        <f t="shared" si="12"/>
        <v>0</v>
      </c>
      <c r="T37" s="958">
        <f t="shared" si="13"/>
        <v>0</v>
      </c>
      <c r="U37" s="959">
        <f t="shared" si="14"/>
        <v>0</v>
      </c>
      <c r="V37" s="959">
        <f t="shared" si="14"/>
        <v>0</v>
      </c>
    </row>
    <row r="38" spans="1:22">
      <c r="A38" s="960">
        <v>32</v>
      </c>
      <c r="B38" s="961" t="s">
        <v>124</v>
      </c>
      <c r="C38" s="1081">
        <f>'2-1-13 SIS'!K38</f>
        <v>0</v>
      </c>
      <c r="D38" s="966">
        <f>'Table 3 Levels 1&amp;2'!AL39</f>
        <v>5531.5157655456787</v>
      </c>
      <c r="E38" s="1013">
        <f t="shared" si="2"/>
        <v>0</v>
      </c>
      <c r="F38" s="1013">
        <f>'Table 4 Level 3'!P37</f>
        <v>559.77</v>
      </c>
      <c r="G38" s="1013">
        <f t="shared" si="3"/>
        <v>0</v>
      </c>
      <c r="H38" s="989">
        <f t="shared" si="4"/>
        <v>0</v>
      </c>
      <c r="I38" s="1023">
        <f t="shared" si="5"/>
        <v>0</v>
      </c>
      <c r="J38" s="989">
        <f t="shared" si="6"/>
        <v>0</v>
      </c>
      <c r="K38" s="989">
        <v>0</v>
      </c>
      <c r="L38" s="989">
        <f t="shared" si="7"/>
        <v>0</v>
      </c>
      <c r="M38" s="989">
        <f t="shared" si="8"/>
        <v>0</v>
      </c>
      <c r="N38" s="981">
        <f>'Table 5C1A-Madison Prep'!N38</f>
        <v>2109</v>
      </c>
      <c r="O38" s="983">
        <f t="shared" si="9"/>
        <v>0</v>
      </c>
      <c r="P38" s="1029">
        <f t="shared" si="10"/>
        <v>0</v>
      </c>
      <c r="Q38" s="983">
        <f t="shared" si="11"/>
        <v>0</v>
      </c>
      <c r="R38" s="983">
        <v>0</v>
      </c>
      <c r="S38" s="983">
        <f t="shared" si="12"/>
        <v>0</v>
      </c>
      <c r="T38" s="983">
        <f t="shared" si="13"/>
        <v>0</v>
      </c>
      <c r="U38" s="984">
        <f t="shared" si="14"/>
        <v>0</v>
      </c>
      <c r="V38" s="984">
        <f t="shared" si="14"/>
        <v>0</v>
      </c>
    </row>
    <row r="39" spans="1:22">
      <c r="A39" s="960">
        <v>33</v>
      </c>
      <c r="B39" s="961" t="s">
        <v>125</v>
      </c>
      <c r="C39" s="1081">
        <f>'2-1-13 SIS'!K39</f>
        <v>0</v>
      </c>
      <c r="D39" s="966">
        <f>'Table 3 Levels 1&amp;2'!AL40</f>
        <v>5329.5444226517857</v>
      </c>
      <c r="E39" s="1013">
        <f t="shared" si="2"/>
        <v>0</v>
      </c>
      <c r="F39" s="1013">
        <f>'Table 4 Level 3'!P38</f>
        <v>655.31000000000006</v>
      </c>
      <c r="G39" s="1013">
        <f t="shared" si="3"/>
        <v>0</v>
      </c>
      <c r="H39" s="989">
        <f t="shared" si="4"/>
        <v>0</v>
      </c>
      <c r="I39" s="1023">
        <f t="shared" si="5"/>
        <v>0</v>
      </c>
      <c r="J39" s="989">
        <f t="shared" si="6"/>
        <v>0</v>
      </c>
      <c r="K39" s="989">
        <v>0</v>
      </c>
      <c r="L39" s="989">
        <f t="shared" si="7"/>
        <v>0</v>
      </c>
      <c r="M39" s="989">
        <f t="shared" si="8"/>
        <v>0</v>
      </c>
      <c r="N39" s="981">
        <f>'Table 5C1A-Madison Prep'!N39</f>
        <v>2649</v>
      </c>
      <c r="O39" s="983">
        <f t="shared" si="9"/>
        <v>0</v>
      </c>
      <c r="P39" s="1029">
        <f t="shared" si="10"/>
        <v>0</v>
      </c>
      <c r="Q39" s="983">
        <f t="shared" si="11"/>
        <v>0</v>
      </c>
      <c r="R39" s="983">
        <v>0</v>
      </c>
      <c r="S39" s="983">
        <f t="shared" si="12"/>
        <v>0</v>
      </c>
      <c r="T39" s="983">
        <f t="shared" si="13"/>
        <v>0</v>
      </c>
      <c r="U39" s="984">
        <f t="shared" si="14"/>
        <v>0</v>
      </c>
      <c r="V39" s="984">
        <f t="shared" si="14"/>
        <v>0</v>
      </c>
    </row>
    <row r="40" spans="1:22">
      <c r="A40" s="960">
        <v>34</v>
      </c>
      <c r="B40" s="961" t="s">
        <v>126</v>
      </c>
      <c r="C40" s="1081">
        <f>'2-1-13 SIS'!K40</f>
        <v>0</v>
      </c>
      <c r="D40" s="966">
        <f>'Table 3 Levels 1&amp;2'!AL41</f>
        <v>6003.632932007491</v>
      </c>
      <c r="E40" s="1013">
        <f t="shared" si="2"/>
        <v>0</v>
      </c>
      <c r="F40" s="1013">
        <f>'Table 4 Level 3'!P39</f>
        <v>644.11000000000013</v>
      </c>
      <c r="G40" s="1013">
        <f t="shared" si="3"/>
        <v>0</v>
      </c>
      <c r="H40" s="989">
        <f t="shared" si="4"/>
        <v>0</v>
      </c>
      <c r="I40" s="1023">
        <f t="shared" si="5"/>
        <v>0</v>
      </c>
      <c r="J40" s="989">
        <f t="shared" si="6"/>
        <v>0</v>
      </c>
      <c r="K40" s="989">
        <v>0</v>
      </c>
      <c r="L40" s="989">
        <f t="shared" si="7"/>
        <v>0</v>
      </c>
      <c r="M40" s="989">
        <f t="shared" si="8"/>
        <v>0</v>
      </c>
      <c r="N40" s="981">
        <f>'Table 5C1A-Madison Prep'!N40</f>
        <v>2817</v>
      </c>
      <c r="O40" s="983">
        <f t="shared" si="9"/>
        <v>0</v>
      </c>
      <c r="P40" s="1029">
        <f t="shared" si="10"/>
        <v>0</v>
      </c>
      <c r="Q40" s="983">
        <f t="shared" si="11"/>
        <v>0</v>
      </c>
      <c r="R40" s="983">
        <v>0</v>
      </c>
      <c r="S40" s="983">
        <f t="shared" si="12"/>
        <v>0</v>
      </c>
      <c r="T40" s="983">
        <f t="shared" si="13"/>
        <v>0</v>
      </c>
      <c r="U40" s="984">
        <f t="shared" si="14"/>
        <v>0</v>
      </c>
      <c r="V40" s="984">
        <f t="shared" si="14"/>
        <v>0</v>
      </c>
    </row>
    <row r="41" spans="1:22">
      <c r="A41" s="963">
        <v>35</v>
      </c>
      <c r="B41" s="964" t="s">
        <v>127</v>
      </c>
      <c r="C41" s="1082">
        <f>'2-1-13 SIS'!K41</f>
        <v>0</v>
      </c>
      <c r="D41" s="967">
        <f>'Table 3 Levels 1&amp;2'!AL42</f>
        <v>4607.1606416222867</v>
      </c>
      <c r="E41" s="1014">
        <f t="shared" si="2"/>
        <v>0</v>
      </c>
      <c r="F41" s="1014">
        <f>'Table 4 Level 3'!P40</f>
        <v>537.96</v>
      </c>
      <c r="G41" s="1014">
        <f t="shared" si="3"/>
        <v>0</v>
      </c>
      <c r="H41" s="990">
        <f t="shared" si="4"/>
        <v>0</v>
      </c>
      <c r="I41" s="1024">
        <f t="shared" si="5"/>
        <v>0</v>
      </c>
      <c r="J41" s="990">
        <f t="shared" si="6"/>
        <v>0</v>
      </c>
      <c r="K41" s="990">
        <v>0</v>
      </c>
      <c r="L41" s="990">
        <f t="shared" si="7"/>
        <v>0</v>
      </c>
      <c r="M41" s="990">
        <f t="shared" si="8"/>
        <v>0</v>
      </c>
      <c r="N41" s="986">
        <f>'Table 5C1A-Madison Prep'!N41</f>
        <v>3298</v>
      </c>
      <c r="O41" s="987">
        <f t="shared" si="9"/>
        <v>0</v>
      </c>
      <c r="P41" s="1030">
        <f t="shared" si="10"/>
        <v>0</v>
      </c>
      <c r="Q41" s="987">
        <f t="shared" si="11"/>
        <v>0</v>
      </c>
      <c r="R41" s="987">
        <v>0</v>
      </c>
      <c r="S41" s="987">
        <f t="shared" si="12"/>
        <v>0</v>
      </c>
      <c r="T41" s="987">
        <f t="shared" si="13"/>
        <v>0</v>
      </c>
      <c r="U41" s="988">
        <f t="shared" si="14"/>
        <v>0</v>
      </c>
      <c r="V41" s="988">
        <f t="shared" si="14"/>
        <v>0</v>
      </c>
    </row>
    <row r="42" spans="1:22">
      <c r="A42" s="953">
        <v>36</v>
      </c>
      <c r="B42" s="954" t="s">
        <v>128</v>
      </c>
      <c r="C42" s="1083">
        <f>'2-1-13 SIS'!K42</f>
        <v>386</v>
      </c>
      <c r="D42" s="968">
        <f>'Table 3 Levels 1&amp;2'!AL43</f>
        <v>3520.4894337711748</v>
      </c>
      <c r="E42" s="1015">
        <f t="shared" si="2"/>
        <v>1358908.9214356735</v>
      </c>
      <c r="F42" s="1015">
        <f>'Table 5B1_RSD_Orleans'!F78</f>
        <v>746.0335616438357</v>
      </c>
      <c r="G42" s="1015">
        <f t="shared" si="3"/>
        <v>287968.95479452057</v>
      </c>
      <c r="H42" s="991">
        <f t="shared" si="4"/>
        <v>1646877.876230194</v>
      </c>
      <c r="I42" s="1025">
        <f t="shared" si="5"/>
        <v>-4117.1946905754849</v>
      </c>
      <c r="J42" s="991">
        <f t="shared" si="6"/>
        <v>1642760.6815396184</v>
      </c>
      <c r="K42" s="1116">
        <v>0</v>
      </c>
      <c r="L42" s="991">
        <f t="shared" si="7"/>
        <v>1642760.6815396184</v>
      </c>
      <c r="M42" s="991">
        <f t="shared" si="8"/>
        <v>136896.72346163486</v>
      </c>
      <c r="N42" s="1523">
        <f>'[11]FY2013-14 Initial'!$D$43</f>
        <v>4673</v>
      </c>
      <c r="O42" s="958">
        <f t="shared" si="9"/>
        <v>1803778</v>
      </c>
      <c r="P42" s="1028">
        <f t="shared" si="10"/>
        <v>-4509.4449999999997</v>
      </c>
      <c r="Q42" s="958">
        <f t="shared" si="11"/>
        <v>1799268.5549999999</v>
      </c>
      <c r="R42" s="958">
        <v>0</v>
      </c>
      <c r="S42" s="958">
        <f t="shared" si="12"/>
        <v>1799268.5549999999</v>
      </c>
      <c r="T42" s="958">
        <f t="shared" si="13"/>
        <v>149939.04624999998</v>
      </c>
      <c r="U42" s="959">
        <f t="shared" si="14"/>
        <v>3442029.2365396181</v>
      </c>
      <c r="V42" s="959">
        <f t="shared" si="14"/>
        <v>286835.76971163484</v>
      </c>
    </row>
    <row r="43" spans="1:22">
      <c r="A43" s="960">
        <v>37</v>
      </c>
      <c r="B43" s="961" t="s">
        <v>129</v>
      </c>
      <c r="C43" s="1081">
        <f>'2-1-13 SIS'!K43</f>
        <v>0</v>
      </c>
      <c r="D43" s="966">
        <f>'Table 3 Levels 1&amp;2'!AL44</f>
        <v>5503.7595641818853</v>
      </c>
      <c r="E43" s="1013">
        <f t="shared" si="2"/>
        <v>0</v>
      </c>
      <c r="F43" s="1013">
        <f>'Table 4 Level 3'!P42</f>
        <v>653.61</v>
      </c>
      <c r="G43" s="1013">
        <f t="shared" si="3"/>
        <v>0</v>
      </c>
      <c r="H43" s="989">
        <f t="shared" si="4"/>
        <v>0</v>
      </c>
      <c r="I43" s="1023">
        <f t="shared" si="5"/>
        <v>0</v>
      </c>
      <c r="J43" s="989">
        <f t="shared" si="6"/>
        <v>0</v>
      </c>
      <c r="K43" s="989">
        <v>0</v>
      </c>
      <c r="L43" s="989">
        <f t="shared" si="7"/>
        <v>0</v>
      </c>
      <c r="M43" s="989">
        <f t="shared" si="8"/>
        <v>0</v>
      </c>
      <c r="N43" s="981">
        <f>'Table 5C1A-Madison Prep'!N43</f>
        <v>3227</v>
      </c>
      <c r="O43" s="983">
        <f t="shared" si="9"/>
        <v>0</v>
      </c>
      <c r="P43" s="1029">
        <f t="shared" si="10"/>
        <v>0</v>
      </c>
      <c r="Q43" s="983">
        <f t="shared" si="11"/>
        <v>0</v>
      </c>
      <c r="R43" s="983">
        <v>0</v>
      </c>
      <c r="S43" s="983">
        <f t="shared" si="12"/>
        <v>0</v>
      </c>
      <c r="T43" s="983">
        <f t="shared" si="13"/>
        <v>0</v>
      </c>
      <c r="U43" s="984">
        <f t="shared" si="14"/>
        <v>0</v>
      </c>
      <c r="V43" s="984">
        <f t="shared" si="14"/>
        <v>0</v>
      </c>
    </row>
    <row r="44" spans="1:22">
      <c r="A44" s="960">
        <v>38</v>
      </c>
      <c r="B44" s="961" t="s">
        <v>130</v>
      </c>
      <c r="C44" s="1081">
        <f>'2-1-13 SIS'!K44</f>
        <v>0</v>
      </c>
      <c r="D44" s="966">
        <f>'Table 3 Levels 1&amp;2'!AL45</f>
        <v>2192.7545275590551</v>
      </c>
      <c r="E44" s="1013">
        <f t="shared" si="2"/>
        <v>0</v>
      </c>
      <c r="F44" s="1013">
        <f>'Table 4 Level 3'!P43</f>
        <v>829.92000000000007</v>
      </c>
      <c r="G44" s="1013">
        <f t="shared" si="3"/>
        <v>0</v>
      </c>
      <c r="H44" s="989">
        <f t="shared" si="4"/>
        <v>0</v>
      </c>
      <c r="I44" s="1023">
        <f t="shared" si="5"/>
        <v>0</v>
      </c>
      <c r="J44" s="989">
        <f t="shared" si="6"/>
        <v>0</v>
      </c>
      <c r="K44" s="989">
        <v>0</v>
      </c>
      <c r="L44" s="989">
        <f t="shared" si="7"/>
        <v>0</v>
      </c>
      <c r="M44" s="989">
        <f t="shared" si="8"/>
        <v>0</v>
      </c>
      <c r="N44" s="981">
        <f>'Table 5C1A-Madison Prep'!N44</f>
        <v>10867</v>
      </c>
      <c r="O44" s="983">
        <f t="shared" si="9"/>
        <v>0</v>
      </c>
      <c r="P44" s="1029">
        <f t="shared" si="10"/>
        <v>0</v>
      </c>
      <c r="Q44" s="983">
        <f t="shared" si="11"/>
        <v>0</v>
      </c>
      <c r="R44" s="983">
        <v>0</v>
      </c>
      <c r="S44" s="983">
        <f t="shared" si="12"/>
        <v>0</v>
      </c>
      <c r="T44" s="983">
        <f t="shared" si="13"/>
        <v>0</v>
      </c>
      <c r="U44" s="984">
        <f t="shared" si="14"/>
        <v>0</v>
      </c>
      <c r="V44" s="984">
        <f t="shared" si="14"/>
        <v>0</v>
      </c>
    </row>
    <row r="45" spans="1:22">
      <c r="A45" s="960">
        <v>39</v>
      </c>
      <c r="B45" s="961" t="s">
        <v>131</v>
      </c>
      <c r="C45" s="1081">
        <f>'2-1-13 SIS'!K45</f>
        <v>0</v>
      </c>
      <c r="D45" s="966">
        <f>'Table 3 Levels 1&amp;2'!AL46</f>
        <v>3639.9942778062696</v>
      </c>
      <c r="E45" s="1013">
        <f t="shared" si="2"/>
        <v>0</v>
      </c>
      <c r="F45" s="1013">
        <f>'Table 5B2_RSD_LA'!F21</f>
        <v>779.65573042776441</v>
      </c>
      <c r="G45" s="1013">
        <f t="shared" si="3"/>
        <v>0</v>
      </c>
      <c r="H45" s="989">
        <f t="shared" si="4"/>
        <v>0</v>
      </c>
      <c r="I45" s="1023">
        <f t="shared" si="5"/>
        <v>0</v>
      </c>
      <c r="J45" s="989">
        <f t="shared" si="6"/>
        <v>0</v>
      </c>
      <c r="K45" s="989">
        <v>0</v>
      </c>
      <c r="L45" s="989">
        <f t="shared" si="7"/>
        <v>0</v>
      </c>
      <c r="M45" s="989">
        <f t="shared" si="8"/>
        <v>0</v>
      </c>
      <c r="N45" s="981">
        <f>'Table 5C1A-Madison Prep'!N45</f>
        <v>4324</v>
      </c>
      <c r="O45" s="983">
        <f t="shared" si="9"/>
        <v>0</v>
      </c>
      <c r="P45" s="1029">
        <f t="shared" si="10"/>
        <v>0</v>
      </c>
      <c r="Q45" s="983">
        <f t="shared" si="11"/>
        <v>0</v>
      </c>
      <c r="R45" s="983">
        <v>0</v>
      </c>
      <c r="S45" s="983">
        <f t="shared" si="12"/>
        <v>0</v>
      </c>
      <c r="T45" s="983">
        <f t="shared" si="13"/>
        <v>0</v>
      </c>
      <c r="U45" s="984">
        <f t="shared" si="14"/>
        <v>0</v>
      </c>
      <c r="V45" s="984">
        <f t="shared" si="14"/>
        <v>0</v>
      </c>
    </row>
    <row r="46" spans="1:22">
      <c r="A46" s="963">
        <v>40</v>
      </c>
      <c r="B46" s="964" t="s">
        <v>132</v>
      </c>
      <c r="C46" s="1082">
        <f>'2-1-13 SIS'!K46</f>
        <v>0</v>
      </c>
      <c r="D46" s="967">
        <f>'Table 3 Levels 1&amp;2'!AL47</f>
        <v>4928.4974462701202</v>
      </c>
      <c r="E46" s="1014">
        <f t="shared" si="2"/>
        <v>0</v>
      </c>
      <c r="F46" s="1014">
        <f>'Table 4 Level 3'!P45</f>
        <v>700.2700000000001</v>
      </c>
      <c r="G46" s="1014">
        <f t="shared" si="3"/>
        <v>0</v>
      </c>
      <c r="H46" s="990">
        <f t="shared" si="4"/>
        <v>0</v>
      </c>
      <c r="I46" s="1024">
        <f t="shared" si="5"/>
        <v>0</v>
      </c>
      <c r="J46" s="990">
        <f t="shared" si="6"/>
        <v>0</v>
      </c>
      <c r="K46" s="990">
        <v>0</v>
      </c>
      <c r="L46" s="990">
        <f t="shared" si="7"/>
        <v>0</v>
      </c>
      <c r="M46" s="990">
        <f t="shared" si="8"/>
        <v>0</v>
      </c>
      <c r="N46" s="986">
        <f>'Table 5C1A-Madison Prep'!N46</f>
        <v>3007</v>
      </c>
      <c r="O46" s="987">
        <f t="shared" si="9"/>
        <v>0</v>
      </c>
      <c r="P46" s="1030">
        <f t="shared" si="10"/>
        <v>0</v>
      </c>
      <c r="Q46" s="987">
        <f t="shared" si="11"/>
        <v>0</v>
      </c>
      <c r="R46" s="987">
        <v>0</v>
      </c>
      <c r="S46" s="987">
        <f t="shared" si="12"/>
        <v>0</v>
      </c>
      <c r="T46" s="987">
        <f t="shared" si="13"/>
        <v>0</v>
      </c>
      <c r="U46" s="988">
        <f t="shared" si="14"/>
        <v>0</v>
      </c>
      <c r="V46" s="988">
        <f t="shared" si="14"/>
        <v>0</v>
      </c>
    </row>
    <row r="47" spans="1:22">
      <c r="A47" s="953">
        <v>41</v>
      </c>
      <c r="B47" s="954" t="s">
        <v>133</v>
      </c>
      <c r="C47" s="1083">
        <f>'2-1-13 SIS'!K47</f>
        <v>0</v>
      </c>
      <c r="D47" s="968">
        <f>'Table 3 Levels 1&amp;2'!AL48</f>
        <v>1615.6013465627216</v>
      </c>
      <c r="E47" s="1015">
        <f t="shared" si="2"/>
        <v>0</v>
      </c>
      <c r="F47" s="1015">
        <f>'Table 4 Level 3'!P46</f>
        <v>886.22</v>
      </c>
      <c r="G47" s="1015">
        <f t="shared" si="3"/>
        <v>0</v>
      </c>
      <c r="H47" s="991">
        <f t="shared" si="4"/>
        <v>0</v>
      </c>
      <c r="I47" s="1025">
        <f t="shared" si="5"/>
        <v>0</v>
      </c>
      <c r="J47" s="991">
        <f t="shared" si="6"/>
        <v>0</v>
      </c>
      <c r="K47" s="991">
        <v>0</v>
      </c>
      <c r="L47" s="991">
        <f t="shared" si="7"/>
        <v>0</v>
      </c>
      <c r="M47" s="991">
        <f t="shared" si="8"/>
        <v>0</v>
      </c>
      <c r="N47" s="981">
        <f>'Table 5C1A-Madison Prep'!N47</f>
        <v>9087</v>
      </c>
      <c r="O47" s="958">
        <f t="shared" si="9"/>
        <v>0</v>
      </c>
      <c r="P47" s="1028">
        <f t="shared" si="10"/>
        <v>0</v>
      </c>
      <c r="Q47" s="958">
        <f t="shared" si="11"/>
        <v>0</v>
      </c>
      <c r="R47" s="958">
        <v>0</v>
      </c>
      <c r="S47" s="958">
        <f t="shared" si="12"/>
        <v>0</v>
      </c>
      <c r="T47" s="958">
        <f t="shared" si="13"/>
        <v>0</v>
      </c>
      <c r="U47" s="959">
        <f t="shared" si="14"/>
        <v>0</v>
      </c>
      <c r="V47" s="959">
        <f t="shared" si="14"/>
        <v>0</v>
      </c>
    </row>
    <row r="48" spans="1:22">
      <c r="A48" s="960">
        <v>42</v>
      </c>
      <c r="B48" s="961" t="s">
        <v>134</v>
      </c>
      <c r="C48" s="1081">
        <f>'2-1-13 SIS'!K48</f>
        <v>0</v>
      </c>
      <c r="D48" s="966">
        <f>'Table 3 Levels 1&amp;2'!AL49</f>
        <v>5087.4730460987803</v>
      </c>
      <c r="E48" s="1013">
        <f t="shared" si="2"/>
        <v>0</v>
      </c>
      <c r="F48" s="1013">
        <f>'Table 4 Level 3'!P47</f>
        <v>534.28</v>
      </c>
      <c r="G48" s="1013">
        <f t="shared" si="3"/>
        <v>0</v>
      </c>
      <c r="H48" s="989">
        <f t="shared" si="4"/>
        <v>0</v>
      </c>
      <c r="I48" s="1023">
        <f t="shared" si="5"/>
        <v>0</v>
      </c>
      <c r="J48" s="989">
        <f t="shared" si="6"/>
        <v>0</v>
      </c>
      <c r="K48" s="989">
        <v>0</v>
      </c>
      <c r="L48" s="989">
        <f t="shared" si="7"/>
        <v>0</v>
      </c>
      <c r="M48" s="989">
        <f t="shared" si="8"/>
        <v>0</v>
      </c>
      <c r="N48" s="981">
        <f>'Table 5C1A-Madison Prep'!N48</f>
        <v>2867</v>
      </c>
      <c r="O48" s="983">
        <f t="shared" si="9"/>
        <v>0</v>
      </c>
      <c r="P48" s="1029">
        <f t="shared" si="10"/>
        <v>0</v>
      </c>
      <c r="Q48" s="983">
        <f t="shared" si="11"/>
        <v>0</v>
      </c>
      <c r="R48" s="983">
        <v>0</v>
      </c>
      <c r="S48" s="983">
        <f t="shared" si="12"/>
        <v>0</v>
      </c>
      <c r="T48" s="983">
        <f t="shared" si="13"/>
        <v>0</v>
      </c>
      <c r="U48" s="984">
        <f t="shared" si="14"/>
        <v>0</v>
      </c>
      <c r="V48" s="984">
        <f t="shared" si="14"/>
        <v>0</v>
      </c>
    </row>
    <row r="49" spans="1:22">
      <c r="A49" s="960">
        <v>43</v>
      </c>
      <c r="B49" s="961" t="s">
        <v>135</v>
      </c>
      <c r="C49" s="1081">
        <f>'2-1-13 SIS'!K49</f>
        <v>0</v>
      </c>
      <c r="D49" s="966">
        <f>'Table 3 Levels 1&amp;2'!AL50</f>
        <v>4717.8414352725031</v>
      </c>
      <c r="E49" s="1013">
        <f t="shared" si="2"/>
        <v>0</v>
      </c>
      <c r="F49" s="1013">
        <f>'Table 4 Level 3'!P48</f>
        <v>574.6099999999999</v>
      </c>
      <c r="G49" s="1013">
        <f t="shared" si="3"/>
        <v>0</v>
      </c>
      <c r="H49" s="989">
        <f t="shared" si="4"/>
        <v>0</v>
      </c>
      <c r="I49" s="1023">
        <f t="shared" si="5"/>
        <v>0</v>
      </c>
      <c r="J49" s="989">
        <f t="shared" si="6"/>
        <v>0</v>
      </c>
      <c r="K49" s="989">
        <v>0</v>
      </c>
      <c r="L49" s="989">
        <f t="shared" si="7"/>
        <v>0</v>
      </c>
      <c r="M49" s="989">
        <f t="shared" si="8"/>
        <v>0</v>
      </c>
      <c r="N49" s="981">
        <f>'Table 5C1A-Madison Prep'!N49</f>
        <v>3587</v>
      </c>
      <c r="O49" s="983">
        <f t="shared" si="9"/>
        <v>0</v>
      </c>
      <c r="P49" s="1029">
        <f t="shared" si="10"/>
        <v>0</v>
      </c>
      <c r="Q49" s="983">
        <f t="shared" si="11"/>
        <v>0</v>
      </c>
      <c r="R49" s="983">
        <v>0</v>
      </c>
      <c r="S49" s="983">
        <f t="shared" si="12"/>
        <v>0</v>
      </c>
      <c r="T49" s="983">
        <f t="shared" si="13"/>
        <v>0</v>
      </c>
      <c r="U49" s="984">
        <f t="shared" si="14"/>
        <v>0</v>
      </c>
      <c r="V49" s="984">
        <f t="shared" si="14"/>
        <v>0</v>
      </c>
    </row>
    <row r="50" spans="1:22">
      <c r="A50" s="960">
        <v>44</v>
      </c>
      <c r="B50" s="961" t="s">
        <v>136</v>
      </c>
      <c r="C50" s="1081">
        <f>'2-1-13 SIS'!K50</f>
        <v>4</v>
      </c>
      <c r="D50" s="966">
        <f>'Table 3 Levels 1&amp;2'!AL51</f>
        <v>4696.6221228259064</v>
      </c>
      <c r="E50" s="1013">
        <f t="shared" si="2"/>
        <v>18786.488491303626</v>
      </c>
      <c r="F50" s="1013">
        <f>'Table 4 Level 3'!P49</f>
        <v>663.16000000000008</v>
      </c>
      <c r="G50" s="1013">
        <f t="shared" si="3"/>
        <v>2652.6400000000003</v>
      </c>
      <c r="H50" s="989">
        <f t="shared" si="4"/>
        <v>21439.128491303625</v>
      </c>
      <c r="I50" s="1023">
        <f t="shared" si="5"/>
        <v>-53.597821228259065</v>
      </c>
      <c r="J50" s="989">
        <f t="shared" si="6"/>
        <v>21385.530670075364</v>
      </c>
      <c r="K50" s="989">
        <v>0</v>
      </c>
      <c r="L50" s="989">
        <f t="shared" si="7"/>
        <v>21385.530670075364</v>
      </c>
      <c r="M50" s="989">
        <f t="shared" si="8"/>
        <v>1782.1275558396137</v>
      </c>
      <c r="N50" s="981">
        <f>'Table 5C1A-Madison Prep'!N50</f>
        <v>4561</v>
      </c>
      <c r="O50" s="983">
        <f t="shared" si="9"/>
        <v>18244</v>
      </c>
      <c r="P50" s="1029">
        <f t="shared" si="10"/>
        <v>-45.61</v>
      </c>
      <c r="Q50" s="983">
        <f t="shared" si="11"/>
        <v>18198.39</v>
      </c>
      <c r="R50" s="983">
        <v>0</v>
      </c>
      <c r="S50" s="983">
        <f t="shared" si="12"/>
        <v>18198.39</v>
      </c>
      <c r="T50" s="983">
        <f t="shared" si="13"/>
        <v>1516.5325</v>
      </c>
      <c r="U50" s="984">
        <f t="shared" si="14"/>
        <v>39583.920670075364</v>
      </c>
      <c r="V50" s="984">
        <f t="shared" si="14"/>
        <v>3298.660055839614</v>
      </c>
    </row>
    <row r="51" spans="1:22">
      <c r="A51" s="963">
        <v>45</v>
      </c>
      <c r="B51" s="964" t="s">
        <v>137</v>
      </c>
      <c r="C51" s="1082">
        <f>'2-1-13 SIS'!K51</f>
        <v>2</v>
      </c>
      <c r="D51" s="967">
        <f>'Table 3 Levels 1&amp;2'!AL52</f>
        <v>2192.4914538932262</v>
      </c>
      <c r="E51" s="1014">
        <f t="shared" si="2"/>
        <v>4384.9829077864524</v>
      </c>
      <c r="F51" s="1014">
        <f>'Table 4 Level 3'!P50</f>
        <v>753.96000000000015</v>
      </c>
      <c r="G51" s="1014">
        <f t="shared" si="3"/>
        <v>1507.9200000000003</v>
      </c>
      <c r="H51" s="990">
        <f t="shared" si="4"/>
        <v>5892.9029077864525</v>
      </c>
      <c r="I51" s="1024">
        <f t="shared" si="5"/>
        <v>-14.732257269466132</v>
      </c>
      <c r="J51" s="990">
        <f t="shared" si="6"/>
        <v>5878.1706505169859</v>
      </c>
      <c r="K51" s="990">
        <v>0</v>
      </c>
      <c r="L51" s="990">
        <f t="shared" si="7"/>
        <v>5878.1706505169859</v>
      </c>
      <c r="M51" s="990">
        <f t="shared" si="8"/>
        <v>489.84755420974881</v>
      </c>
      <c r="N51" s="986">
        <f>'Table 5C1A-Madison Prep'!N51</f>
        <v>11287</v>
      </c>
      <c r="O51" s="987">
        <f t="shared" si="9"/>
        <v>22574</v>
      </c>
      <c r="P51" s="1030">
        <f t="shared" si="10"/>
        <v>-56.435000000000002</v>
      </c>
      <c r="Q51" s="987">
        <f t="shared" si="11"/>
        <v>22517.564999999999</v>
      </c>
      <c r="R51" s="987">
        <v>0</v>
      </c>
      <c r="S51" s="987">
        <f t="shared" si="12"/>
        <v>22517.564999999999</v>
      </c>
      <c r="T51" s="987">
        <f t="shared" si="13"/>
        <v>1876.4637499999999</v>
      </c>
      <c r="U51" s="988">
        <f t="shared" si="14"/>
        <v>28395.735650516985</v>
      </c>
      <c r="V51" s="988">
        <f t="shared" si="14"/>
        <v>2366.3113042097489</v>
      </c>
    </row>
    <row r="52" spans="1:22">
      <c r="A52" s="953">
        <v>46</v>
      </c>
      <c r="B52" s="954" t="s">
        <v>138</v>
      </c>
      <c r="C52" s="1083">
        <f>'2-1-13 SIS'!K52</f>
        <v>0</v>
      </c>
      <c r="D52" s="968">
        <f>'Table 3 Levels 1&amp;2'!AL53</f>
        <v>5644.6599115241634</v>
      </c>
      <c r="E52" s="1015">
        <f t="shared" si="2"/>
        <v>0</v>
      </c>
      <c r="F52" s="1015">
        <f>'Table 4 Level 3'!P51</f>
        <v>728.06</v>
      </c>
      <c r="G52" s="1015">
        <f t="shared" si="3"/>
        <v>0</v>
      </c>
      <c r="H52" s="991">
        <f t="shared" si="4"/>
        <v>0</v>
      </c>
      <c r="I52" s="1025">
        <f t="shared" si="5"/>
        <v>0</v>
      </c>
      <c r="J52" s="991">
        <f t="shared" si="6"/>
        <v>0</v>
      </c>
      <c r="K52" s="991">
        <v>0</v>
      </c>
      <c r="L52" s="991">
        <f t="shared" si="7"/>
        <v>0</v>
      </c>
      <c r="M52" s="991">
        <f t="shared" si="8"/>
        <v>0</v>
      </c>
      <c r="N52" s="981">
        <f>'Table 5C1A-Madison Prep'!N52</f>
        <v>2150</v>
      </c>
      <c r="O52" s="958">
        <f t="shared" si="9"/>
        <v>0</v>
      </c>
      <c r="P52" s="1028">
        <f t="shared" si="10"/>
        <v>0</v>
      </c>
      <c r="Q52" s="958">
        <f t="shared" si="11"/>
        <v>0</v>
      </c>
      <c r="R52" s="958">
        <v>0</v>
      </c>
      <c r="S52" s="958">
        <f t="shared" si="12"/>
        <v>0</v>
      </c>
      <c r="T52" s="958">
        <f t="shared" si="13"/>
        <v>0</v>
      </c>
      <c r="U52" s="959">
        <f t="shared" si="14"/>
        <v>0</v>
      </c>
      <c r="V52" s="959">
        <f t="shared" si="14"/>
        <v>0</v>
      </c>
    </row>
    <row r="53" spans="1:22">
      <c r="A53" s="960">
        <v>47</v>
      </c>
      <c r="B53" s="961" t="s">
        <v>139</v>
      </c>
      <c r="C53" s="1081">
        <f>'2-1-13 SIS'!K53</f>
        <v>0</v>
      </c>
      <c r="D53" s="966">
        <f>'Table 3 Levels 1&amp;2'!AL54</f>
        <v>2731.2444076222037</v>
      </c>
      <c r="E53" s="1013">
        <f t="shared" si="2"/>
        <v>0</v>
      </c>
      <c r="F53" s="1013">
        <f>'Table 4 Level 3'!P52</f>
        <v>910.76</v>
      </c>
      <c r="G53" s="1013">
        <f t="shared" si="3"/>
        <v>0</v>
      </c>
      <c r="H53" s="989">
        <f t="shared" si="4"/>
        <v>0</v>
      </c>
      <c r="I53" s="1023">
        <f t="shared" si="5"/>
        <v>0</v>
      </c>
      <c r="J53" s="989">
        <f t="shared" si="6"/>
        <v>0</v>
      </c>
      <c r="K53" s="989">
        <v>0</v>
      </c>
      <c r="L53" s="989">
        <f t="shared" si="7"/>
        <v>0</v>
      </c>
      <c r="M53" s="989">
        <f t="shared" si="8"/>
        <v>0</v>
      </c>
      <c r="N53" s="981">
        <f>'Table 5C1A-Madison Prep'!N53</f>
        <v>13280</v>
      </c>
      <c r="O53" s="983">
        <f t="shared" si="9"/>
        <v>0</v>
      </c>
      <c r="P53" s="1029">
        <f t="shared" si="10"/>
        <v>0</v>
      </c>
      <c r="Q53" s="983">
        <f t="shared" si="11"/>
        <v>0</v>
      </c>
      <c r="R53" s="983">
        <v>0</v>
      </c>
      <c r="S53" s="983">
        <f t="shared" si="12"/>
        <v>0</v>
      </c>
      <c r="T53" s="983">
        <f t="shared" si="13"/>
        <v>0</v>
      </c>
      <c r="U53" s="984">
        <f t="shared" si="14"/>
        <v>0</v>
      </c>
      <c r="V53" s="984">
        <f t="shared" si="14"/>
        <v>0</v>
      </c>
    </row>
    <row r="54" spans="1:22">
      <c r="A54" s="960">
        <v>48</v>
      </c>
      <c r="B54" s="961" t="s">
        <v>197</v>
      </c>
      <c r="C54" s="1081">
        <f>'2-1-13 SIS'!K54</f>
        <v>2</v>
      </c>
      <c r="D54" s="966">
        <f>'Table 3 Levels 1&amp;2'!AL55</f>
        <v>4272.723323083942</v>
      </c>
      <c r="E54" s="1013">
        <f t="shared" si="2"/>
        <v>8545.446646167884</v>
      </c>
      <c r="F54" s="1013">
        <f>'Table 4 Level 3'!P53</f>
        <v>871.07</v>
      </c>
      <c r="G54" s="1013">
        <f t="shared" si="3"/>
        <v>1742.14</v>
      </c>
      <c r="H54" s="989">
        <f t="shared" si="4"/>
        <v>10287.586646167883</v>
      </c>
      <c r="I54" s="1023">
        <f t="shared" si="5"/>
        <v>-25.71896661541971</v>
      </c>
      <c r="J54" s="989">
        <f t="shared" si="6"/>
        <v>10261.867679552464</v>
      </c>
      <c r="K54" s="989">
        <v>0</v>
      </c>
      <c r="L54" s="989">
        <f t="shared" si="7"/>
        <v>10261.867679552464</v>
      </c>
      <c r="M54" s="989">
        <f t="shared" si="8"/>
        <v>855.15563996270532</v>
      </c>
      <c r="N54" s="981">
        <f>'Table 5C1A-Madison Prep'!N54</f>
        <v>6453</v>
      </c>
      <c r="O54" s="983">
        <f t="shared" si="9"/>
        <v>12906</v>
      </c>
      <c r="P54" s="1029">
        <f t="shared" si="10"/>
        <v>-32.265000000000001</v>
      </c>
      <c r="Q54" s="983">
        <f t="shared" si="11"/>
        <v>12873.735000000001</v>
      </c>
      <c r="R54" s="983">
        <v>0</v>
      </c>
      <c r="S54" s="983">
        <f t="shared" si="12"/>
        <v>12873.735000000001</v>
      </c>
      <c r="T54" s="983">
        <f t="shared" si="13"/>
        <v>1072.81125</v>
      </c>
      <c r="U54" s="984">
        <f t="shared" si="14"/>
        <v>23135.602679552467</v>
      </c>
      <c r="V54" s="984">
        <f t="shared" si="14"/>
        <v>1927.9668899627054</v>
      </c>
    </row>
    <row r="55" spans="1:22">
      <c r="A55" s="960">
        <v>49</v>
      </c>
      <c r="B55" s="961" t="s">
        <v>140</v>
      </c>
      <c r="C55" s="1081">
        <f>'2-1-13 SIS'!K55</f>
        <v>0</v>
      </c>
      <c r="D55" s="966">
        <f>'Table 3 Levels 1&amp;2'!AL56</f>
        <v>4836.7092570332552</v>
      </c>
      <c r="E55" s="1013">
        <f t="shared" si="2"/>
        <v>0</v>
      </c>
      <c r="F55" s="1013">
        <f>'Table 4 Level 3'!P54</f>
        <v>574.43999999999994</v>
      </c>
      <c r="G55" s="1013">
        <f t="shared" si="3"/>
        <v>0</v>
      </c>
      <c r="H55" s="989">
        <f t="shared" si="4"/>
        <v>0</v>
      </c>
      <c r="I55" s="1023">
        <f t="shared" si="5"/>
        <v>0</v>
      </c>
      <c r="J55" s="989">
        <f t="shared" si="6"/>
        <v>0</v>
      </c>
      <c r="K55" s="989">
        <v>0</v>
      </c>
      <c r="L55" s="989">
        <f t="shared" si="7"/>
        <v>0</v>
      </c>
      <c r="M55" s="989">
        <f t="shared" si="8"/>
        <v>0</v>
      </c>
      <c r="N55" s="981">
        <f>'Table 5C1A-Madison Prep'!N55</f>
        <v>2287</v>
      </c>
      <c r="O55" s="983">
        <f t="shared" si="9"/>
        <v>0</v>
      </c>
      <c r="P55" s="1029">
        <f t="shared" si="10"/>
        <v>0</v>
      </c>
      <c r="Q55" s="983">
        <f t="shared" si="11"/>
        <v>0</v>
      </c>
      <c r="R55" s="983">
        <v>0</v>
      </c>
      <c r="S55" s="983">
        <f t="shared" si="12"/>
        <v>0</v>
      </c>
      <c r="T55" s="983">
        <f t="shared" si="13"/>
        <v>0</v>
      </c>
      <c r="U55" s="984">
        <f t="shared" si="14"/>
        <v>0</v>
      </c>
      <c r="V55" s="984">
        <f t="shared" si="14"/>
        <v>0</v>
      </c>
    </row>
    <row r="56" spans="1:22">
      <c r="A56" s="963">
        <v>50</v>
      </c>
      <c r="B56" s="964" t="s">
        <v>141</v>
      </c>
      <c r="C56" s="1082">
        <f>'2-1-13 SIS'!K56</f>
        <v>0</v>
      </c>
      <c r="D56" s="967">
        <f>'Table 3 Levels 1&amp;2'!AL57</f>
        <v>5032.6862895017111</v>
      </c>
      <c r="E56" s="1014">
        <f t="shared" si="2"/>
        <v>0</v>
      </c>
      <c r="F56" s="1014">
        <f>'Table 4 Level 3'!P55</f>
        <v>634.46</v>
      </c>
      <c r="G56" s="1014">
        <f t="shared" si="3"/>
        <v>0</v>
      </c>
      <c r="H56" s="990">
        <f t="shared" si="4"/>
        <v>0</v>
      </c>
      <c r="I56" s="1024">
        <f t="shared" si="5"/>
        <v>0</v>
      </c>
      <c r="J56" s="990">
        <f t="shared" si="6"/>
        <v>0</v>
      </c>
      <c r="K56" s="990">
        <v>0</v>
      </c>
      <c r="L56" s="990">
        <f t="shared" si="7"/>
        <v>0</v>
      </c>
      <c r="M56" s="990">
        <f t="shared" si="8"/>
        <v>0</v>
      </c>
      <c r="N56" s="986">
        <f>'Table 5C1A-Madison Prep'!N56</f>
        <v>2801</v>
      </c>
      <c r="O56" s="987">
        <f t="shared" si="9"/>
        <v>0</v>
      </c>
      <c r="P56" s="1030">
        <f t="shared" si="10"/>
        <v>0</v>
      </c>
      <c r="Q56" s="987">
        <f t="shared" si="11"/>
        <v>0</v>
      </c>
      <c r="R56" s="987">
        <v>0</v>
      </c>
      <c r="S56" s="987">
        <f t="shared" si="12"/>
        <v>0</v>
      </c>
      <c r="T56" s="987">
        <f t="shared" si="13"/>
        <v>0</v>
      </c>
      <c r="U56" s="988">
        <f t="shared" si="14"/>
        <v>0</v>
      </c>
      <c r="V56" s="988">
        <f t="shared" si="14"/>
        <v>0</v>
      </c>
    </row>
    <row r="57" spans="1:22">
      <c r="A57" s="953">
        <v>51</v>
      </c>
      <c r="B57" s="954" t="s">
        <v>142</v>
      </c>
      <c r="C57" s="1083">
        <f>'2-1-13 SIS'!K57</f>
        <v>0</v>
      </c>
      <c r="D57" s="968">
        <f>'Table 3 Levels 1&amp;2'!AL58</f>
        <v>4246.0339872793602</v>
      </c>
      <c r="E57" s="1015">
        <f t="shared" si="2"/>
        <v>0</v>
      </c>
      <c r="F57" s="1015">
        <f>'Table 4 Level 3'!P56</f>
        <v>706.66</v>
      </c>
      <c r="G57" s="1015">
        <f t="shared" si="3"/>
        <v>0</v>
      </c>
      <c r="H57" s="991">
        <f t="shared" si="4"/>
        <v>0</v>
      </c>
      <c r="I57" s="1025">
        <f t="shared" si="5"/>
        <v>0</v>
      </c>
      <c r="J57" s="991">
        <f t="shared" si="6"/>
        <v>0</v>
      </c>
      <c r="K57" s="991">
        <v>0</v>
      </c>
      <c r="L57" s="991">
        <f t="shared" si="7"/>
        <v>0</v>
      </c>
      <c r="M57" s="991">
        <f t="shared" si="8"/>
        <v>0</v>
      </c>
      <c r="N57" s="981">
        <f>'Table 5C1A-Madison Prep'!N57</f>
        <v>4215</v>
      </c>
      <c r="O57" s="958">
        <f t="shared" si="9"/>
        <v>0</v>
      </c>
      <c r="P57" s="1028">
        <f t="shared" si="10"/>
        <v>0</v>
      </c>
      <c r="Q57" s="958">
        <f t="shared" si="11"/>
        <v>0</v>
      </c>
      <c r="R57" s="958">
        <v>0</v>
      </c>
      <c r="S57" s="958">
        <f t="shared" si="12"/>
        <v>0</v>
      </c>
      <c r="T57" s="958">
        <f t="shared" si="13"/>
        <v>0</v>
      </c>
      <c r="U57" s="959">
        <f t="shared" si="14"/>
        <v>0</v>
      </c>
      <c r="V57" s="959">
        <f t="shared" si="14"/>
        <v>0</v>
      </c>
    </row>
    <row r="58" spans="1:22">
      <c r="A58" s="960">
        <v>52</v>
      </c>
      <c r="B58" s="961" t="s">
        <v>143</v>
      </c>
      <c r="C58" s="1081">
        <f>'2-1-13 SIS'!K58</f>
        <v>3</v>
      </c>
      <c r="D58" s="966">
        <f>'Table 3 Levels 1&amp;2'!AL59</f>
        <v>5013.4438050113249</v>
      </c>
      <c r="E58" s="1013">
        <f t="shared" si="2"/>
        <v>15040.331415033976</v>
      </c>
      <c r="F58" s="1013">
        <f>'Table 4 Level 3'!P57</f>
        <v>658.37</v>
      </c>
      <c r="G58" s="1013">
        <f t="shared" si="3"/>
        <v>1975.1100000000001</v>
      </c>
      <c r="H58" s="989">
        <f t="shared" si="4"/>
        <v>17015.441415033976</v>
      </c>
      <c r="I58" s="1023">
        <f t="shared" si="5"/>
        <v>-42.53860353758494</v>
      </c>
      <c r="J58" s="989">
        <f t="shared" si="6"/>
        <v>16972.902811496391</v>
      </c>
      <c r="K58" s="989">
        <v>0</v>
      </c>
      <c r="L58" s="989">
        <f t="shared" si="7"/>
        <v>16972.902811496391</v>
      </c>
      <c r="M58" s="989">
        <f t="shared" si="8"/>
        <v>1414.4085676246993</v>
      </c>
      <c r="N58" s="981">
        <f>'Table 5C1A-Madison Prep'!N58</f>
        <v>4889</v>
      </c>
      <c r="O58" s="983">
        <f t="shared" si="9"/>
        <v>14667</v>
      </c>
      <c r="P58" s="1029">
        <f t="shared" si="10"/>
        <v>-36.667500000000004</v>
      </c>
      <c r="Q58" s="983">
        <f t="shared" si="11"/>
        <v>14630.3325</v>
      </c>
      <c r="R58" s="983">
        <v>0</v>
      </c>
      <c r="S58" s="983">
        <f t="shared" si="12"/>
        <v>14630.3325</v>
      </c>
      <c r="T58" s="983">
        <f t="shared" si="13"/>
        <v>1219.194375</v>
      </c>
      <c r="U58" s="984">
        <f t="shared" si="14"/>
        <v>31603.235311496392</v>
      </c>
      <c r="V58" s="984">
        <f t="shared" si="14"/>
        <v>2633.6029426246996</v>
      </c>
    </row>
    <row r="59" spans="1:22">
      <c r="A59" s="960">
        <v>53</v>
      </c>
      <c r="B59" s="961" t="s">
        <v>144</v>
      </c>
      <c r="C59" s="1081">
        <f>'2-1-13 SIS'!K59</f>
        <v>0</v>
      </c>
      <c r="D59" s="966">
        <f>'Table 3 Levels 1&amp;2'!AL60</f>
        <v>4775.5877635581091</v>
      </c>
      <c r="E59" s="1013">
        <f t="shared" si="2"/>
        <v>0</v>
      </c>
      <c r="F59" s="1013">
        <f>'Table 4 Level 3'!P58</f>
        <v>689.74</v>
      </c>
      <c r="G59" s="1013">
        <f t="shared" si="3"/>
        <v>0</v>
      </c>
      <c r="H59" s="989">
        <f t="shared" si="4"/>
        <v>0</v>
      </c>
      <c r="I59" s="1023">
        <f t="shared" si="5"/>
        <v>0</v>
      </c>
      <c r="J59" s="989">
        <f t="shared" si="6"/>
        <v>0</v>
      </c>
      <c r="K59" s="989">
        <v>0</v>
      </c>
      <c r="L59" s="989">
        <f t="shared" si="7"/>
        <v>0</v>
      </c>
      <c r="M59" s="989">
        <f t="shared" si="8"/>
        <v>0</v>
      </c>
      <c r="N59" s="981">
        <f>'Table 5C1A-Madison Prep'!N59</f>
        <v>2119</v>
      </c>
      <c r="O59" s="983">
        <f t="shared" si="9"/>
        <v>0</v>
      </c>
      <c r="P59" s="1029">
        <f t="shared" si="10"/>
        <v>0</v>
      </c>
      <c r="Q59" s="983">
        <f t="shared" si="11"/>
        <v>0</v>
      </c>
      <c r="R59" s="983">
        <v>0</v>
      </c>
      <c r="S59" s="983">
        <f t="shared" si="12"/>
        <v>0</v>
      </c>
      <c r="T59" s="983">
        <f t="shared" si="13"/>
        <v>0</v>
      </c>
      <c r="U59" s="984">
        <f t="shared" si="14"/>
        <v>0</v>
      </c>
      <c r="V59" s="984">
        <f t="shared" si="14"/>
        <v>0</v>
      </c>
    </row>
    <row r="60" spans="1:22">
      <c r="A60" s="960">
        <v>54</v>
      </c>
      <c r="B60" s="961" t="s">
        <v>145</v>
      </c>
      <c r="C60" s="1081">
        <f>'2-1-13 SIS'!K60</f>
        <v>0</v>
      </c>
      <c r="D60" s="966">
        <f>'Table 3 Levels 1&amp;2'!AL61</f>
        <v>5951.8009386275662</v>
      </c>
      <c r="E60" s="1013">
        <f t="shared" si="2"/>
        <v>0</v>
      </c>
      <c r="F60" s="1013">
        <f>'Table 4 Level 3'!P59</f>
        <v>951.45</v>
      </c>
      <c r="G60" s="1013">
        <f t="shared" si="3"/>
        <v>0</v>
      </c>
      <c r="H60" s="989">
        <f t="shared" si="4"/>
        <v>0</v>
      </c>
      <c r="I60" s="1023">
        <f t="shared" si="5"/>
        <v>0</v>
      </c>
      <c r="J60" s="989">
        <f t="shared" si="6"/>
        <v>0</v>
      </c>
      <c r="K60" s="989">
        <v>0</v>
      </c>
      <c r="L60" s="989">
        <f t="shared" si="7"/>
        <v>0</v>
      </c>
      <c r="M60" s="989">
        <f t="shared" si="8"/>
        <v>0</v>
      </c>
      <c r="N60" s="981">
        <f>'Table 5C1A-Madison Prep'!N60</f>
        <v>3690</v>
      </c>
      <c r="O60" s="983">
        <f t="shared" si="9"/>
        <v>0</v>
      </c>
      <c r="P60" s="1029">
        <f t="shared" si="10"/>
        <v>0</v>
      </c>
      <c r="Q60" s="983">
        <f t="shared" si="11"/>
        <v>0</v>
      </c>
      <c r="R60" s="983">
        <v>0</v>
      </c>
      <c r="S60" s="983">
        <f t="shared" si="12"/>
        <v>0</v>
      </c>
      <c r="T60" s="983">
        <f t="shared" si="13"/>
        <v>0</v>
      </c>
      <c r="U60" s="984">
        <f t="shared" si="14"/>
        <v>0</v>
      </c>
      <c r="V60" s="984">
        <f t="shared" si="14"/>
        <v>0</v>
      </c>
    </row>
    <row r="61" spans="1:22">
      <c r="A61" s="963">
        <v>55</v>
      </c>
      <c r="B61" s="964" t="s">
        <v>146</v>
      </c>
      <c r="C61" s="1082">
        <f>'2-1-13 SIS'!K61</f>
        <v>0</v>
      </c>
      <c r="D61" s="967">
        <f>'Table 3 Levels 1&amp;2'!AL62</f>
        <v>4171.0434735233157</v>
      </c>
      <c r="E61" s="1014">
        <f t="shared" si="2"/>
        <v>0</v>
      </c>
      <c r="F61" s="1014">
        <f>'Table 4 Level 3'!P60</f>
        <v>795.14</v>
      </c>
      <c r="G61" s="1014">
        <f t="shared" si="3"/>
        <v>0</v>
      </c>
      <c r="H61" s="990">
        <f t="shared" si="4"/>
        <v>0</v>
      </c>
      <c r="I61" s="1024">
        <f t="shared" si="5"/>
        <v>0</v>
      </c>
      <c r="J61" s="990">
        <f t="shared" si="6"/>
        <v>0</v>
      </c>
      <c r="K61" s="990">
        <v>0</v>
      </c>
      <c r="L61" s="990">
        <f t="shared" si="7"/>
        <v>0</v>
      </c>
      <c r="M61" s="990">
        <f t="shared" si="8"/>
        <v>0</v>
      </c>
      <c r="N61" s="986">
        <f>'Table 5C1A-Madison Prep'!N61</f>
        <v>3157</v>
      </c>
      <c r="O61" s="987">
        <f t="shared" si="9"/>
        <v>0</v>
      </c>
      <c r="P61" s="1030">
        <f t="shared" si="10"/>
        <v>0</v>
      </c>
      <c r="Q61" s="987">
        <f t="shared" si="11"/>
        <v>0</v>
      </c>
      <c r="R61" s="987">
        <v>0</v>
      </c>
      <c r="S61" s="987">
        <f t="shared" si="12"/>
        <v>0</v>
      </c>
      <c r="T61" s="987">
        <f t="shared" si="13"/>
        <v>0</v>
      </c>
      <c r="U61" s="988">
        <f t="shared" si="14"/>
        <v>0</v>
      </c>
      <c r="V61" s="988">
        <f t="shared" si="14"/>
        <v>0</v>
      </c>
    </row>
    <row r="62" spans="1:22">
      <c r="A62" s="953">
        <v>56</v>
      </c>
      <c r="B62" s="954" t="s">
        <v>147</v>
      </c>
      <c r="C62" s="1083">
        <f>'2-1-13 SIS'!K62</f>
        <v>0</v>
      </c>
      <c r="D62" s="968">
        <f>'Table 3 Levels 1&amp;2'!AL63</f>
        <v>4968.593189672727</v>
      </c>
      <c r="E62" s="1015">
        <f t="shared" si="2"/>
        <v>0</v>
      </c>
      <c r="F62" s="1015">
        <f>'Table 4 Level 3'!P61</f>
        <v>614.66000000000008</v>
      </c>
      <c r="G62" s="1015">
        <f t="shared" si="3"/>
        <v>0</v>
      </c>
      <c r="H62" s="991">
        <f t="shared" si="4"/>
        <v>0</v>
      </c>
      <c r="I62" s="1025">
        <f t="shared" si="5"/>
        <v>0</v>
      </c>
      <c r="J62" s="991">
        <f t="shared" si="6"/>
        <v>0</v>
      </c>
      <c r="K62" s="991">
        <v>0</v>
      </c>
      <c r="L62" s="991">
        <f t="shared" si="7"/>
        <v>0</v>
      </c>
      <c r="M62" s="991">
        <f t="shared" si="8"/>
        <v>0</v>
      </c>
      <c r="N62" s="981">
        <f>'Table 5C1A-Madison Prep'!N62</f>
        <v>2779</v>
      </c>
      <c r="O62" s="958">
        <f t="shared" si="9"/>
        <v>0</v>
      </c>
      <c r="P62" s="1028">
        <f t="shared" si="10"/>
        <v>0</v>
      </c>
      <c r="Q62" s="958">
        <f t="shared" si="11"/>
        <v>0</v>
      </c>
      <c r="R62" s="958">
        <v>0</v>
      </c>
      <c r="S62" s="958">
        <f t="shared" si="12"/>
        <v>0</v>
      </c>
      <c r="T62" s="958">
        <f t="shared" si="13"/>
        <v>0</v>
      </c>
      <c r="U62" s="959">
        <f t="shared" si="14"/>
        <v>0</v>
      </c>
      <c r="V62" s="959">
        <f t="shared" si="14"/>
        <v>0</v>
      </c>
    </row>
    <row r="63" spans="1:22">
      <c r="A63" s="960">
        <v>57</v>
      </c>
      <c r="B63" s="961" t="s">
        <v>148</v>
      </c>
      <c r="C63" s="1081">
        <f>'2-1-13 SIS'!K63</f>
        <v>0</v>
      </c>
      <c r="D63" s="966">
        <f>'Table 3 Levels 1&amp;2'!AL64</f>
        <v>4485.7073020218859</v>
      </c>
      <c r="E63" s="1013">
        <f t="shared" si="2"/>
        <v>0</v>
      </c>
      <c r="F63" s="1013">
        <f>'Table 4 Level 3'!P62</f>
        <v>764.51</v>
      </c>
      <c r="G63" s="1013">
        <f t="shared" si="3"/>
        <v>0</v>
      </c>
      <c r="H63" s="989">
        <f t="shared" si="4"/>
        <v>0</v>
      </c>
      <c r="I63" s="1023">
        <f t="shared" si="5"/>
        <v>0</v>
      </c>
      <c r="J63" s="989">
        <f t="shared" si="6"/>
        <v>0</v>
      </c>
      <c r="K63" s="989">
        <v>0</v>
      </c>
      <c r="L63" s="989">
        <f t="shared" si="7"/>
        <v>0</v>
      </c>
      <c r="M63" s="989">
        <f t="shared" si="8"/>
        <v>0</v>
      </c>
      <c r="N63" s="981">
        <f>'Table 5C1A-Madison Prep'!N63</f>
        <v>3107</v>
      </c>
      <c r="O63" s="983">
        <f t="shared" si="9"/>
        <v>0</v>
      </c>
      <c r="P63" s="1029">
        <f t="shared" si="10"/>
        <v>0</v>
      </c>
      <c r="Q63" s="983">
        <f t="shared" si="11"/>
        <v>0</v>
      </c>
      <c r="R63" s="983">
        <v>0</v>
      </c>
      <c r="S63" s="983">
        <f t="shared" si="12"/>
        <v>0</v>
      </c>
      <c r="T63" s="983">
        <f t="shared" si="13"/>
        <v>0</v>
      </c>
      <c r="U63" s="984">
        <f t="shared" si="14"/>
        <v>0</v>
      </c>
      <c r="V63" s="984">
        <f t="shared" si="14"/>
        <v>0</v>
      </c>
    </row>
    <row r="64" spans="1:22">
      <c r="A64" s="960">
        <v>58</v>
      </c>
      <c r="B64" s="961" t="s">
        <v>149</v>
      </c>
      <c r="C64" s="1081">
        <f>'2-1-13 SIS'!K64</f>
        <v>0</v>
      </c>
      <c r="D64" s="966">
        <f>'Table 3 Levels 1&amp;2'!AL65</f>
        <v>5457.8662803476354</v>
      </c>
      <c r="E64" s="1013">
        <f t="shared" si="2"/>
        <v>0</v>
      </c>
      <c r="F64" s="1013">
        <f>'Table 4 Level 3'!P63</f>
        <v>697.04</v>
      </c>
      <c r="G64" s="1013">
        <f t="shared" si="3"/>
        <v>0</v>
      </c>
      <c r="H64" s="989">
        <f t="shared" si="4"/>
        <v>0</v>
      </c>
      <c r="I64" s="1023">
        <f t="shared" si="5"/>
        <v>0</v>
      </c>
      <c r="J64" s="989">
        <f t="shared" si="6"/>
        <v>0</v>
      </c>
      <c r="K64" s="989">
        <v>0</v>
      </c>
      <c r="L64" s="989">
        <f t="shared" si="7"/>
        <v>0</v>
      </c>
      <c r="M64" s="989">
        <f t="shared" si="8"/>
        <v>0</v>
      </c>
      <c r="N64" s="981">
        <f>'Table 5C1A-Madison Prep'!N64</f>
        <v>2105</v>
      </c>
      <c r="O64" s="983">
        <f t="shared" si="9"/>
        <v>0</v>
      </c>
      <c r="P64" s="1029">
        <f t="shared" si="10"/>
        <v>0</v>
      </c>
      <c r="Q64" s="983">
        <f t="shared" si="11"/>
        <v>0</v>
      </c>
      <c r="R64" s="983">
        <v>0</v>
      </c>
      <c r="S64" s="983">
        <f t="shared" si="12"/>
        <v>0</v>
      </c>
      <c r="T64" s="983">
        <f t="shared" si="13"/>
        <v>0</v>
      </c>
      <c r="U64" s="984">
        <f t="shared" si="14"/>
        <v>0</v>
      </c>
      <c r="V64" s="984">
        <f t="shared" si="14"/>
        <v>0</v>
      </c>
    </row>
    <row r="65" spans="1:22">
      <c r="A65" s="960">
        <v>59</v>
      </c>
      <c r="B65" s="961" t="s">
        <v>150</v>
      </c>
      <c r="C65" s="1081">
        <f>'2-1-13 SIS'!K65</f>
        <v>0</v>
      </c>
      <c r="D65" s="966">
        <f>'Table 3 Levels 1&amp;2'!AL66</f>
        <v>6274.2786338006481</v>
      </c>
      <c r="E65" s="1013">
        <f t="shared" si="2"/>
        <v>0</v>
      </c>
      <c r="F65" s="1013">
        <f>'Table 4 Level 3'!P64</f>
        <v>689.52</v>
      </c>
      <c r="G65" s="1013">
        <f t="shared" si="3"/>
        <v>0</v>
      </c>
      <c r="H65" s="989">
        <f t="shared" si="4"/>
        <v>0</v>
      </c>
      <c r="I65" s="1023">
        <f t="shared" si="5"/>
        <v>0</v>
      </c>
      <c r="J65" s="989">
        <f t="shared" si="6"/>
        <v>0</v>
      </c>
      <c r="K65" s="989">
        <v>0</v>
      </c>
      <c r="L65" s="989">
        <f t="shared" si="7"/>
        <v>0</v>
      </c>
      <c r="M65" s="989">
        <f t="shared" si="8"/>
        <v>0</v>
      </c>
      <c r="N65" s="981">
        <f>'Table 5C1A-Madison Prep'!N65</f>
        <v>1510</v>
      </c>
      <c r="O65" s="983">
        <f t="shared" si="9"/>
        <v>0</v>
      </c>
      <c r="P65" s="1029">
        <f t="shared" si="10"/>
        <v>0</v>
      </c>
      <c r="Q65" s="983">
        <f t="shared" si="11"/>
        <v>0</v>
      </c>
      <c r="R65" s="983">
        <v>0</v>
      </c>
      <c r="S65" s="983">
        <f t="shared" si="12"/>
        <v>0</v>
      </c>
      <c r="T65" s="983">
        <f t="shared" si="13"/>
        <v>0</v>
      </c>
      <c r="U65" s="984">
        <f t="shared" si="14"/>
        <v>0</v>
      </c>
      <c r="V65" s="984">
        <f t="shared" si="14"/>
        <v>0</v>
      </c>
    </row>
    <row r="66" spans="1:22">
      <c r="A66" s="963">
        <v>60</v>
      </c>
      <c r="B66" s="964" t="s">
        <v>151</v>
      </c>
      <c r="C66" s="1082">
        <f>'2-1-13 SIS'!K66</f>
        <v>0</v>
      </c>
      <c r="D66" s="967">
        <f>'Table 3 Levels 1&amp;2'!AL67</f>
        <v>4940.9166775610411</v>
      </c>
      <c r="E66" s="1014">
        <f t="shared" si="2"/>
        <v>0</v>
      </c>
      <c r="F66" s="1014">
        <f>'Table 4 Level 3'!P65</f>
        <v>594.04</v>
      </c>
      <c r="G66" s="1014">
        <f t="shared" si="3"/>
        <v>0</v>
      </c>
      <c r="H66" s="990">
        <f t="shared" si="4"/>
        <v>0</v>
      </c>
      <c r="I66" s="1024">
        <f t="shared" si="5"/>
        <v>0</v>
      </c>
      <c r="J66" s="990">
        <f t="shared" si="6"/>
        <v>0</v>
      </c>
      <c r="K66" s="990">
        <v>0</v>
      </c>
      <c r="L66" s="990">
        <f t="shared" si="7"/>
        <v>0</v>
      </c>
      <c r="M66" s="990">
        <f t="shared" si="8"/>
        <v>0</v>
      </c>
      <c r="N66" s="986">
        <f>'Table 5C1A-Madison Prep'!N66</f>
        <v>3793</v>
      </c>
      <c r="O66" s="987">
        <f t="shared" si="9"/>
        <v>0</v>
      </c>
      <c r="P66" s="1030">
        <f t="shared" si="10"/>
        <v>0</v>
      </c>
      <c r="Q66" s="987">
        <f t="shared" si="11"/>
        <v>0</v>
      </c>
      <c r="R66" s="987">
        <v>0</v>
      </c>
      <c r="S66" s="987">
        <f t="shared" si="12"/>
        <v>0</v>
      </c>
      <c r="T66" s="987">
        <f t="shared" si="13"/>
        <v>0</v>
      </c>
      <c r="U66" s="988">
        <f t="shared" si="14"/>
        <v>0</v>
      </c>
      <c r="V66" s="988">
        <f t="shared" si="14"/>
        <v>0</v>
      </c>
    </row>
    <row r="67" spans="1:22">
      <c r="A67" s="953">
        <v>61</v>
      </c>
      <c r="B67" s="954" t="s">
        <v>152</v>
      </c>
      <c r="C67" s="1083">
        <f>'2-1-13 SIS'!K67</f>
        <v>0</v>
      </c>
      <c r="D67" s="968">
        <f>'Table 3 Levels 1&amp;2'!AL68</f>
        <v>2908.0344869339228</v>
      </c>
      <c r="E67" s="1015">
        <f t="shared" si="2"/>
        <v>0</v>
      </c>
      <c r="F67" s="1015">
        <f>'Table 4 Level 3'!P66</f>
        <v>833.70999999999992</v>
      </c>
      <c r="G67" s="1015">
        <f t="shared" si="3"/>
        <v>0</v>
      </c>
      <c r="H67" s="991">
        <f t="shared" si="4"/>
        <v>0</v>
      </c>
      <c r="I67" s="1025">
        <f t="shared" si="5"/>
        <v>0</v>
      </c>
      <c r="J67" s="991">
        <f t="shared" si="6"/>
        <v>0</v>
      </c>
      <c r="K67" s="991">
        <v>0</v>
      </c>
      <c r="L67" s="991">
        <f t="shared" si="7"/>
        <v>0</v>
      </c>
      <c r="M67" s="991">
        <f t="shared" si="8"/>
        <v>0</v>
      </c>
      <c r="N67" s="981">
        <f>'Table 5C1A-Madison Prep'!N67</f>
        <v>6570</v>
      </c>
      <c r="O67" s="958">
        <f t="shared" si="9"/>
        <v>0</v>
      </c>
      <c r="P67" s="1028">
        <f t="shared" si="10"/>
        <v>0</v>
      </c>
      <c r="Q67" s="958">
        <f t="shared" si="11"/>
        <v>0</v>
      </c>
      <c r="R67" s="958">
        <v>0</v>
      </c>
      <c r="S67" s="958">
        <f t="shared" si="12"/>
        <v>0</v>
      </c>
      <c r="T67" s="958">
        <f t="shared" si="13"/>
        <v>0</v>
      </c>
      <c r="U67" s="959">
        <f t="shared" si="14"/>
        <v>0</v>
      </c>
      <c r="V67" s="959">
        <f t="shared" si="14"/>
        <v>0</v>
      </c>
    </row>
    <row r="68" spans="1:22">
      <c r="A68" s="960">
        <v>62</v>
      </c>
      <c r="B68" s="961" t="s">
        <v>153</v>
      </c>
      <c r="C68" s="1081">
        <f>'2-1-13 SIS'!K68</f>
        <v>0</v>
      </c>
      <c r="D68" s="966">
        <f>'Table 3 Levels 1&amp;2'!AL69</f>
        <v>5652.1730736722093</v>
      </c>
      <c r="E68" s="1013">
        <f t="shared" si="2"/>
        <v>0</v>
      </c>
      <c r="F68" s="1013">
        <f>'Table 4 Level 3'!P67</f>
        <v>516.08000000000004</v>
      </c>
      <c r="G68" s="1013">
        <f t="shared" si="3"/>
        <v>0</v>
      </c>
      <c r="H68" s="989">
        <f t="shared" si="4"/>
        <v>0</v>
      </c>
      <c r="I68" s="1023">
        <f t="shared" si="5"/>
        <v>0</v>
      </c>
      <c r="J68" s="989">
        <f t="shared" si="6"/>
        <v>0</v>
      </c>
      <c r="K68" s="989">
        <v>0</v>
      </c>
      <c r="L68" s="989">
        <f t="shared" si="7"/>
        <v>0</v>
      </c>
      <c r="M68" s="989">
        <f t="shared" si="8"/>
        <v>0</v>
      </c>
      <c r="N68" s="981">
        <f>'Table 5C1A-Madison Prep'!N68</f>
        <v>1934</v>
      </c>
      <c r="O68" s="983">
        <f t="shared" si="9"/>
        <v>0</v>
      </c>
      <c r="P68" s="1029">
        <f t="shared" si="10"/>
        <v>0</v>
      </c>
      <c r="Q68" s="983">
        <f t="shared" si="11"/>
        <v>0</v>
      </c>
      <c r="R68" s="983">
        <v>0</v>
      </c>
      <c r="S68" s="983">
        <f t="shared" si="12"/>
        <v>0</v>
      </c>
      <c r="T68" s="983">
        <f t="shared" si="13"/>
        <v>0</v>
      </c>
      <c r="U68" s="984">
        <f t="shared" si="14"/>
        <v>0</v>
      </c>
      <c r="V68" s="984">
        <f t="shared" si="14"/>
        <v>0</v>
      </c>
    </row>
    <row r="69" spans="1:22">
      <c r="A69" s="960">
        <v>63</v>
      </c>
      <c r="B69" s="961" t="s">
        <v>154</v>
      </c>
      <c r="C69" s="1081">
        <f>'2-1-13 SIS'!K69</f>
        <v>0</v>
      </c>
      <c r="D69" s="966">
        <f>'Table 3 Levels 1&amp;2'!AL70</f>
        <v>4362.300753810403</v>
      </c>
      <c r="E69" s="1013">
        <f t="shared" si="2"/>
        <v>0</v>
      </c>
      <c r="F69" s="1013">
        <f>'Table 4 Level 3'!P68</f>
        <v>756.79</v>
      </c>
      <c r="G69" s="1013">
        <f t="shared" si="3"/>
        <v>0</v>
      </c>
      <c r="H69" s="989">
        <f t="shared" si="4"/>
        <v>0</v>
      </c>
      <c r="I69" s="1023">
        <f t="shared" si="5"/>
        <v>0</v>
      </c>
      <c r="J69" s="989">
        <f t="shared" si="6"/>
        <v>0</v>
      </c>
      <c r="K69" s="989">
        <v>0</v>
      </c>
      <c r="L69" s="989">
        <f t="shared" si="7"/>
        <v>0</v>
      </c>
      <c r="M69" s="989">
        <f t="shared" si="8"/>
        <v>0</v>
      </c>
      <c r="N69" s="981">
        <f>'Table 5C1A-Madison Prep'!N69</f>
        <v>6787</v>
      </c>
      <c r="O69" s="983">
        <f t="shared" si="9"/>
        <v>0</v>
      </c>
      <c r="P69" s="1029">
        <f t="shared" si="10"/>
        <v>0</v>
      </c>
      <c r="Q69" s="983">
        <f t="shared" si="11"/>
        <v>0</v>
      </c>
      <c r="R69" s="983">
        <v>0</v>
      </c>
      <c r="S69" s="983">
        <f t="shared" si="12"/>
        <v>0</v>
      </c>
      <c r="T69" s="983">
        <f t="shared" si="13"/>
        <v>0</v>
      </c>
      <c r="U69" s="984">
        <f t="shared" si="14"/>
        <v>0</v>
      </c>
      <c r="V69" s="984">
        <f t="shared" si="14"/>
        <v>0</v>
      </c>
    </row>
    <row r="70" spans="1:22">
      <c r="A70" s="960">
        <v>64</v>
      </c>
      <c r="B70" s="961" t="s">
        <v>155</v>
      </c>
      <c r="C70" s="1081">
        <f>'2-1-13 SIS'!K70</f>
        <v>0</v>
      </c>
      <c r="D70" s="966">
        <f>'Table 3 Levels 1&amp;2'!AL71</f>
        <v>5960.2049072003338</v>
      </c>
      <c r="E70" s="1013">
        <f t="shared" si="2"/>
        <v>0</v>
      </c>
      <c r="F70" s="1013">
        <f>'Table 4 Level 3'!P69</f>
        <v>592.66</v>
      </c>
      <c r="G70" s="1013">
        <f t="shared" si="3"/>
        <v>0</v>
      </c>
      <c r="H70" s="989">
        <f t="shared" si="4"/>
        <v>0</v>
      </c>
      <c r="I70" s="1023">
        <f t="shared" si="5"/>
        <v>0</v>
      </c>
      <c r="J70" s="989">
        <f t="shared" si="6"/>
        <v>0</v>
      </c>
      <c r="K70" s="989">
        <v>0</v>
      </c>
      <c r="L70" s="989">
        <f t="shared" si="7"/>
        <v>0</v>
      </c>
      <c r="M70" s="989">
        <f t="shared" si="8"/>
        <v>0</v>
      </c>
      <c r="N70" s="981">
        <f>'Table 5C1A-Madison Prep'!N70</f>
        <v>2901</v>
      </c>
      <c r="O70" s="983">
        <f t="shared" si="9"/>
        <v>0</v>
      </c>
      <c r="P70" s="1029">
        <f t="shared" si="10"/>
        <v>0</v>
      </c>
      <c r="Q70" s="983">
        <f t="shared" si="11"/>
        <v>0</v>
      </c>
      <c r="R70" s="983">
        <v>0</v>
      </c>
      <c r="S70" s="983">
        <f t="shared" si="12"/>
        <v>0</v>
      </c>
      <c r="T70" s="983">
        <f t="shared" si="13"/>
        <v>0</v>
      </c>
      <c r="U70" s="984">
        <f t="shared" si="14"/>
        <v>0</v>
      </c>
      <c r="V70" s="984">
        <f t="shared" si="14"/>
        <v>0</v>
      </c>
    </row>
    <row r="71" spans="1:22">
      <c r="A71" s="963">
        <v>65</v>
      </c>
      <c r="B71" s="964" t="s">
        <v>156</v>
      </c>
      <c r="C71" s="1082">
        <f>'2-1-13 SIS'!K71</f>
        <v>0</v>
      </c>
      <c r="D71" s="967">
        <f>'Table 3 Levels 1&amp;2'!AL72</f>
        <v>4579.2772303106676</v>
      </c>
      <c r="E71" s="1014">
        <f t="shared" si="2"/>
        <v>0</v>
      </c>
      <c r="F71" s="1014">
        <f>'Table 4 Level 3'!P70</f>
        <v>829.12</v>
      </c>
      <c r="G71" s="1014">
        <f t="shared" si="3"/>
        <v>0</v>
      </c>
      <c r="H71" s="990">
        <f t="shared" si="4"/>
        <v>0</v>
      </c>
      <c r="I71" s="1024">
        <f t="shared" si="5"/>
        <v>0</v>
      </c>
      <c r="J71" s="990">
        <f t="shared" si="6"/>
        <v>0</v>
      </c>
      <c r="K71" s="990">
        <v>0</v>
      </c>
      <c r="L71" s="990">
        <f t="shared" si="7"/>
        <v>0</v>
      </c>
      <c r="M71" s="990">
        <f t="shared" si="8"/>
        <v>0</v>
      </c>
      <c r="N71" s="986">
        <f>'Table 5C1A-Madison Prep'!N71</f>
        <v>5001</v>
      </c>
      <c r="O71" s="987">
        <f t="shared" si="9"/>
        <v>0</v>
      </c>
      <c r="P71" s="1030">
        <f t="shared" si="10"/>
        <v>0</v>
      </c>
      <c r="Q71" s="987">
        <f t="shared" si="11"/>
        <v>0</v>
      </c>
      <c r="R71" s="987">
        <v>0</v>
      </c>
      <c r="S71" s="987">
        <f t="shared" si="12"/>
        <v>0</v>
      </c>
      <c r="T71" s="987">
        <f t="shared" si="13"/>
        <v>0</v>
      </c>
      <c r="U71" s="988">
        <f t="shared" si="14"/>
        <v>0</v>
      </c>
      <c r="V71" s="988">
        <f t="shared" si="14"/>
        <v>0</v>
      </c>
    </row>
    <row r="72" spans="1:22">
      <c r="A72" s="953">
        <v>66</v>
      </c>
      <c r="B72" s="954" t="s">
        <v>157</v>
      </c>
      <c r="C72" s="1083">
        <f>'2-1-13 SIS'!K72</f>
        <v>0</v>
      </c>
      <c r="D72" s="968">
        <f>'Table 3 Levels 1&amp;2'!AL73</f>
        <v>6370.8108195713585</v>
      </c>
      <c r="E72" s="1015">
        <f t="shared" ref="E72:E75" si="15">C72*D72</f>
        <v>0</v>
      </c>
      <c r="F72" s="1015">
        <f>'Table 4 Level 3'!P71</f>
        <v>730.06</v>
      </c>
      <c r="G72" s="1015">
        <f t="shared" ref="G72:G75" si="16">C72*F72</f>
        <v>0</v>
      </c>
      <c r="H72" s="991">
        <f t="shared" ref="H72:H75" si="17">E72+G72</f>
        <v>0</v>
      </c>
      <c r="I72" s="1025">
        <f t="shared" ref="I72:I75" si="18">-(0.25%*H72)</f>
        <v>0</v>
      </c>
      <c r="J72" s="991">
        <f t="shared" ref="J72:J75" si="19">SUM(H72:I72)</f>
        <v>0</v>
      </c>
      <c r="K72" s="991">
        <v>0</v>
      </c>
      <c r="L72" s="991">
        <f t="shared" ref="L72:L75" si="20">SUM(J72:K72)</f>
        <v>0</v>
      </c>
      <c r="M72" s="991">
        <f t="shared" ref="M72:M75" si="21">L72/12</f>
        <v>0</v>
      </c>
      <c r="N72" s="981">
        <f>'Table 5C1A-Madison Prep'!N72</f>
        <v>3415</v>
      </c>
      <c r="O72" s="958">
        <f t="shared" ref="O72:O75" si="22">C72*N72</f>
        <v>0</v>
      </c>
      <c r="P72" s="1028">
        <f t="shared" ref="P72:P75" si="23">-(0.25%*O72)</f>
        <v>0</v>
      </c>
      <c r="Q72" s="958">
        <f t="shared" ref="Q72:Q75" si="24">SUM(O72:P72)</f>
        <v>0</v>
      </c>
      <c r="R72" s="958">
        <v>0</v>
      </c>
      <c r="S72" s="958">
        <f t="shared" ref="S72:S75" si="25">SUM(Q72:R72)</f>
        <v>0</v>
      </c>
      <c r="T72" s="958">
        <f t="shared" ref="T72:T75" si="26">S72/12</f>
        <v>0</v>
      </c>
      <c r="U72" s="959">
        <f t="shared" ref="U72:V75" si="27">L72+S72</f>
        <v>0</v>
      </c>
      <c r="V72" s="959">
        <f t="shared" si="27"/>
        <v>0</v>
      </c>
    </row>
    <row r="73" spans="1:22">
      <c r="A73" s="960">
        <v>67</v>
      </c>
      <c r="B73" s="961" t="s">
        <v>32</v>
      </c>
      <c r="C73" s="1081">
        <f>'2-1-13 SIS'!K73</f>
        <v>0</v>
      </c>
      <c r="D73" s="966">
        <f>'Table 3 Levels 1&amp;2'!AL74</f>
        <v>4951.6009932106244</v>
      </c>
      <c r="E73" s="1013">
        <f t="shared" si="15"/>
        <v>0</v>
      </c>
      <c r="F73" s="1013">
        <f>'Table 4 Level 3'!P72</f>
        <v>715.61</v>
      </c>
      <c r="G73" s="1013">
        <f t="shared" si="16"/>
        <v>0</v>
      </c>
      <c r="H73" s="989">
        <f t="shared" si="17"/>
        <v>0</v>
      </c>
      <c r="I73" s="1023">
        <f t="shared" si="18"/>
        <v>0</v>
      </c>
      <c r="J73" s="989">
        <f t="shared" si="19"/>
        <v>0</v>
      </c>
      <c r="K73" s="989">
        <v>0</v>
      </c>
      <c r="L73" s="989">
        <f t="shared" si="20"/>
        <v>0</v>
      </c>
      <c r="M73" s="989">
        <f t="shared" si="21"/>
        <v>0</v>
      </c>
      <c r="N73" s="981">
        <f>'Table 5C1A-Madison Prep'!N73</f>
        <v>5221</v>
      </c>
      <c r="O73" s="983">
        <f t="shared" si="22"/>
        <v>0</v>
      </c>
      <c r="P73" s="1029">
        <f t="shared" si="23"/>
        <v>0</v>
      </c>
      <c r="Q73" s="983">
        <f t="shared" si="24"/>
        <v>0</v>
      </c>
      <c r="R73" s="983">
        <v>0</v>
      </c>
      <c r="S73" s="983">
        <f t="shared" si="25"/>
        <v>0</v>
      </c>
      <c r="T73" s="983">
        <f t="shared" si="26"/>
        <v>0</v>
      </c>
      <c r="U73" s="984">
        <f t="shared" si="27"/>
        <v>0</v>
      </c>
      <c r="V73" s="984">
        <f t="shared" si="27"/>
        <v>0</v>
      </c>
    </row>
    <row r="74" spans="1:22">
      <c r="A74" s="960">
        <v>68</v>
      </c>
      <c r="B74" s="961" t="s">
        <v>30</v>
      </c>
      <c r="C74" s="1081">
        <f>'2-1-13 SIS'!K74</f>
        <v>0</v>
      </c>
      <c r="D74" s="966">
        <f>'Table 3 Levels 1&amp;2'!AL75</f>
        <v>6077.2398733698947</v>
      </c>
      <c r="E74" s="1013">
        <f t="shared" si="15"/>
        <v>0</v>
      </c>
      <c r="F74" s="1013">
        <f>'Table 4 Level 3'!P73</f>
        <v>798.7</v>
      </c>
      <c r="G74" s="1013">
        <f t="shared" si="16"/>
        <v>0</v>
      </c>
      <c r="H74" s="989">
        <f t="shared" si="17"/>
        <v>0</v>
      </c>
      <c r="I74" s="1023">
        <f t="shared" si="18"/>
        <v>0</v>
      </c>
      <c r="J74" s="989">
        <f t="shared" si="19"/>
        <v>0</v>
      </c>
      <c r="K74" s="989">
        <v>0</v>
      </c>
      <c r="L74" s="989">
        <f t="shared" si="20"/>
        <v>0</v>
      </c>
      <c r="M74" s="989">
        <f t="shared" si="21"/>
        <v>0</v>
      </c>
      <c r="N74" s="981">
        <f>'Table 5C1A-Madison Prep'!N74</f>
        <v>2680</v>
      </c>
      <c r="O74" s="983">
        <f t="shared" si="22"/>
        <v>0</v>
      </c>
      <c r="P74" s="1029">
        <f t="shared" si="23"/>
        <v>0</v>
      </c>
      <c r="Q74" s="983">
        <f t="shared" si="24"/>
        <v>0</v>
      </c>
      <c r="R74" s="983">
        <v>0</v>
      </c>
      <c r="S74" s="983">
        <f t="shared" si="25"/>
        <v>0</v>
      </c>
      <c r="T74" s="983">
        <f t="shared" si="26"/>
        <v>0</v>
      </c>
      <c r="U74" s="984">
        <f t="shared" si="27"/>
        <v>0</v>
      </c>
      <c r="V74" s="984">
        <f t="shared" si="27"/>
        <v>0</v>
      </c>
    </row>
    <row r="75" spans="1:22">
      <c r="A75" s="969">
        <v>69</v>
      </c>
      <c r="B75" s="970" t="s">
        <v>208</v>
      </c>
      <c r="C75" s="1084">
        <f>'2-1-13 SIS'!K75</f>
        <v>0</v>
      </c>
      <c r="D75" s="971">
        <f>'Table 3 Levels 1&amp;2'!AL76</f>
        <v>5585.8253106686579</v>
      </c>
      <c r="E75" s="1016">
        <f t="shared" si="15"/>
        <v>0</v>
      </c>
      <c r="F75" s="1016">
        <f>'Table 4 Level 3'!P74</f>
        <v>705.67</v>
      </c>
      <c r="G75" s="1016">
        <f t="shared" si="16"/>
        <v>0</v>
      </c>
      <c r="H75" s="992">
        <f t="shared" si="17"/>
        <v>0</v>
      </c>
      <c r="I75" s="1026">
        <f t="shared" si="18"/>
        <v>0</v>
      </c>
      <c r="J75" s="992">
        <f t="shared" si="19"/>
        <v>0</v>
      </c>
      <c r="K75" s="992">
        <v>0</v>
      </c>
      <c r="L75" s="992">
        <f t="shared" si="20"/>
        <v>0</v>
      </c>
      <c r="M75" s="992">
        <f t="shared" si="21"/>
        <v>0</v>
      </c>
      <c r="N75" s="981">
        <f>'Table 5C1A-Madison Prep'!N75</f>
        <v>3263</v>
      </c>
      <c r="O75" s="993">
        <f t="shared" si="22"/>
        <v>0</v>
      </c>
      <c r="P75" s="1031">
        <f t="shared" si="23"/>
        <v>0</v>
      </c>
      <c r="Q75" s="993">
        <f t="shared" si="24"/>
        <v>0</v>
      </c>
      <c r="R75" s="993">
        <v>0</v>
      </c>
      <c r="S75" s="993">
        <f t="shared" si="25"/>
        <v>0</v>
      </c>
      <c r="T75" s="993">
        <f t="shared" si="26"/>
        <v>0</v>
      </c>
      <c r="U75" s="994">
        <f t="shared" si="27"/>
        <v>0</v>
      </c>
      <c r="V75" s="994">
        <f t="shared" si="27"/>
        <v>0</v>
      </c>
    </row>
    <row r="76" spans="1:22" ht="13.5" thickBot="1">
      <c r="A76" s="972"/>
      <c r="B76" s="973" t="s">
        <v>158</v>
      </c>
      <c r="C76" s="974">
        <f>SUM(C7:C75)</f>
        <v>443</v>
      </c>
      <c r="D76" s="975"/>
      <c r="E76" s="1017">
        <f>SUM(E7:E75)</f>
        <v>1557166.3211283216</v>
      </c>
      <c r="F76" s="1017">
        <f>'Table 4 Level 3'!P75</f>
        <v>704.49059912051428</v>
      </c>
      <c r="G76" s="1017">
        <f t="shared" ref="G76:L76" si="28">SUM(G7:G75)</f>
        <v>334340.94479452056</v>
      </c>
      <c r="H76" s="976">
        <f t="shared" si="28"/>
        <v>1891507.2659228423</v>
      </c>
      <c r="I76" s="1027">
        <f t="shared" si="28"/>
        <v>-4728.7681648071057</v>
      </c>
      <c r="J76" s="976">
        <f t="shared" si="28"/>
        <v>1886778.4977580351</v>
      </c>
      <c r="K76" s="1117">
        <f t="shared" si="28"/>
        <v>0</v>
      </c>
      <c r="L76" s="976">
        <f t="shared" si="28"/>
        <v>1886778.4977580351</v>
      </c>
      <c r="M76" s="976">
        <f>SUM(M7:M75)</f>
        <v>157231.54147983622</v>
      </c>
      <c r="N76" s="995">
        <f>'Table 5C1A-Madison Prep'!N76</f>
        <v>4503</v>
      </c>
      <c r="O76" s="977">
        <f t="shared" ref="O76:V76" si="29">SUM(O7:O75)</f>
        <v>2116015</v>
      </c>
      <c r="P76" s="1032">
        <f t="shared" si="29"/>
        <v>-5290.0374999999995</v>
      </c>
      <c r="Q76" s="977">
        <f t="shared" si="29"/>
        <v>2110724.9624999999</v>
      </c>
      <c r="R76" s="977">
        <f t="shared" si="29"/>
        <v>0</v>
      </c>
      <c r="S76" s="977">
        <f t="shared" si="29"/>
        <v>2110724.9624999999</v>
      </c>
      <c r="T76" s="977">
        <f t="shared" si="29"/>
        <v>175893.74687499998</v>
      </c>
      <c r="U76" s="978">
        <f t="shared" si="29"/>
        <v>3997503.460258035</v>
      </c>
      <c r="V76" s="978">
        <f t="shared" si="29"/>
        <v>333125.28835483629</v>
      </c>
    </row>
    <row r="77" spans="1:22" ht="13.5" thickTop="1"/>
  </sheetData>
  <mergeCells count="19">
    <mergeCell ref="A2:B4"/>
    <mergeCell ref="C2:M2"/>
    <mergeCell ref="N2:T2"/>
    <mergeCell ref="U2:U4"/>
    <mergeCell ref="V2:V4"/>
    <mergeCell ref="C3:C4"/>
    <mergeCell ref="D3:D4"/>
    <mergeCell ref="E3:E4"/>
    <mergeCell ref="F3:F4"/>
    <mergeCell ref="G3:G4"/>
    <mergeCell ref="Q3:Q4"/>
    <mergeCell ref="R3:R4"/>
    <mergeCell ref="S3:S4"/>
    <mergeCell ref="H3:H4"/>
    <mergeCell ref="J3:J4"/>
    <mergeCell ref="K3:K4"/>
    <mergeCell ref="L3:L4"/>
    <mergeCell ref="M3:M4"/>
    <mergeCell ref="N3:N4"/>
  </mergeCells>
  <pageMargins left="0.33" right="0.35" top="0.75" bottom="0.75" header="0.3" footer="0.3"/>
  <pageSetup paperSize="5" scale="63" firstPageNumber="54" orientation="portrait" useFirstPageNumber="1" r:id="rId1"/>
  <headerFooter>
    <oddHeader>&amp;L&amp;"Arial,Bold"&amp;20Table 5C1-C: FY2013-14 MFP Budget Letter 
International High School of New Orleans</oddHeader>
    <oddFooter>&amp;R&amp;P</oddFooter>
  </headerFooter>
  <colBreaks count="1" manualBreakCount="1">
    <brk id="13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view="pageBreakPreview" zoomScale="90" zoomScaleNormal="100" zoomScaleSheetLayoutView="90" workbookViewId="0">
      <pane xSplit="2" ySplit="6" topLeftCell="K7" activePane="bottomRight" state="frozen"/>
      <selection activeCell="A2" sqref="A2:B4"/>
      <selection pane="topRight" activeCell="A2" sqref="A2:B4"/>
      <selection pane="bottomLeft" activeCell="A2" sqref="A2:B4"/>
      <selection pane="bottomRight" activeCell="N8" sqref="N8:N76"/>
    </sheetView>
  </sheetViews>
  <sheetFormatPr defaultRowHeight="12.75"/>
  <cols>
    <col min="1" max="1" width="4.28515625" customWidth="1"/>
    <col min="2" max="2" width="17.85546875" bestFit="1" customWidth="1"/>
    <col min="3" max="3" width="12.5703125" customWidth="1"/>
    <col min="4" max="4" width="17" customWidth="1"/>
    <col min="5" max="5" width="11.140625" customWidth="1"/>
    <col min="6" max="6" width="12" customWidth="1"/>
    <col min="7" max="7" width="13.28515625" customWidth="1"/>
    <col min="8" max="8" width="14.5703125" customWidth="1"/>
    <col min="9" max="9" width="12.28515625" customWidth="1"/>
    <col min="10" max="10" width="12" bestFit="1" customWidth="1"/>
    <col min="11" max="11" width="15.5703125" customWidth="1"/>
    <col min="12" max="12" width="14" customWidth="1"/>
    <col min="13" max="13" width="9.85546875" customWidth="1"/>
    <col min="14" max="14" width="17.28515625" customWidth="1"/>
    <col min="15" max="15" width="16.7109375" customWidth="1"/>
    <col min="16" max="16" width="13.7109375" customWidth="1"/>
    <col min="17" max="17" width="17" customWidth="1"/>
    <col min="18" max="18" width="15.28515625" customWidth="1"/>
    <col min="19" max="19" width="13.140625" customWidth="1"/>
    <col min="20" max="20" width="12" customWidth="1"/>
    <col min="21" max="21" width="11" customWidth="1"/>
    <col min="22" max="22" width="10.140625" customWidth="1"/>
    <col min="24" max="24" width="10.5703125" customWidth="1"/>
  </cols>
  <sheetData>
    <row r="1" spans="1:22"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:22" ht="45" customHeight="1">
      <c r="A2" s="1729" t="s">
        <v>510</v>
      </c>
      <c r="B2" s="1730"/>
      <c r="C2" s="1718" t="s">
        <v>500</v>
      </c>
      <c r="D2" s="1719"/>
      <c r="E2" s="1719"/>
      <c r="F2" s="1719"/>
      <c r="G2" s="1719"/>
      <c r="H2" s="1719"/>
      <c r="I2" s="1719"/>
      <c r="J2" s="1719"/>
      <c r="K2" s="1719"/>
      <c r="L2" s="1719"/>
      <c r="M2" s="1720"/>
      <c r="N2" s="1700" t="s">
        <v>656</v>
      </c>
      <c r="O2" s="1701"/>
      <c r="P2" s="1701"/>
      <c r="Q2" s="1701"/>
      <c r="R2" s="1701"/>
      <c r="S2" s="1701"/>
      <c r="T2" s="1702"/>
      <c r="U2" s="1703" t="s">
        <v>683</v>
      </c>
      <c r="V2" s="1703" t="s">
        <v>654</v>
      </c>
    </row>
    <row r="3" spans="1:22" ht="115.5" customHeight="1">
      <c r="A3" s="1731"/>
      <c r="B3" s="1732"/>
      <c r="C3" s="1706" t="s">
        <v>588</v>
      </c>
      <c r="D3" s="1717" t="s">
        <v>744</v>
      </c>
      <c r="E3" s="1717" t="s">
        <v>674</v>
      </c>
      <c r="F3" s="1706" t="s">
        <v>501</v>
      </c>
      <c r="G3" s="1706" t="s">
        <v>445</v>
      </c>
      <c r="H3" s="1706" t="s">
        <v>675</v>
      </c>
      <c r="I3" s="1104" t="s">
        <v>456</v>
      </c>
      <c r="J3" s="1706" t="s">
        <v>676</v>
      </c>
      <c r="K3" s="1706" t="s">
        <v>967</v>
      </c>
      <c r="L3" s="1706" t="s">
        <v>677</v>
      </c>
      <c r="M3" s="1717" t="s">
        <v>655</v>
      </c>
      <c r="N3" s="1709" t="s">
        <v>527</v>
      </c>
      <c r="O3" s="1278" t="s">
        <v>678</v>
      </c>
      <c r="P3" s="1106" t="s">
        <v>457</v>
      </c>
      <c r="Q3" s="1709" t="s">
        <v>679</v>
      </c>
      <c r="R3" s="1709" t="s">
        <v>967</v>
      </c>
      <c r="S3" s="1709" t="s">
        <v>680</v>
      </c>
      <c r="T3" s="1278" t="s">
        <v>681</v>
      </c>
      <c r="U3" s="1704"/>
      <c r="V3" s="1704"/>
    </row>
    <row r="4" spans="1:22" ht="22.5" customHeight="1">
      <c r="A4" s="1733"/>
      <c r="B4" s="1734"/>
      <c r="C4" s="1707"/>
      <c r="D4" s="1717"/>
      <c r="E4" s="1717"/>
      <c r="F4" s="1707"/>
      <c r="G4" s="1707"/>
      <c r="H4" s="1707"/>
      <c r="I4" s="1018">
        <v>2.5000000000000001E-3</v>
      </c>
      <c r="J4" s="1707"/>
      <c r="K4" s="1707"/>
      <c r="L4" s="1707"/>
      <c r="M4" s="1717"/>
      <c r="N4" s="1710"/>
      <c r="O4" s="1105"/>
      <c r="P4" s="1019">
        <v>2.5000000000000001E-3</v>
      </c>
      <c r="Q4" s="1710"/>
      <c r="R4" s="1710"/>
      <c r="S4" s="1710"/>
      <c r="T4" s="1105"/>
      <c r="U4" s="1705"/>
      <c r="V4" s="1705"/>
    </row>
    <row r="5" spans="1:22" ht="14.25" customHeight="1">
      <c r="A5" s="950"/>
      <c r="B5" s="951"/>
      <c r="C5" s="952">
        <v>1</v>
      </c>
      <c r="D5" s="952">
        <f t="shared" ref="D5" si="0">C5+1</f>
        <v>2</v>
      </c>
      <c r="E5" s="952">
        <f>D5+1</f>
        <v>3</v>
      </c>
      <c r="F5" s="952">
        <f t="shared" ref="F5:V5" si="1">E5+1</f>
        <v>4</v>
      </c>
      <c r="G5" s="952">
        <f t="shared" si="1"/>
        <v>5</v>
      </c>
      <c r="H5" s="952">
        <f t="shared" si="1"/>
        <v>6</v>
      </c>
      <c r="I5" s="952">
        <f t="shared" si="1"/>
        <v>7</v>
      </c>
      <c r="J5" s="952">
        <f t="shared" si="1"/>
        <v>8</v>
      </c>
      <c r="K5" s="952">
        <f t="shared" si="1"/>
        <v>9</v>
      </c>
      <c r="L5" s="952">
        <f t="shared" si="1"/>
        <v>10</v>
      </c>
      <c r="M5" s="952">
        <f t="shared" si="1"/>
        <v>11</v>
      </c>
      <c r="N5" s="952">
        <f t="shared" si="1"/>
        <v>12</v>
      </c>
      <c r="O5" s="952">
        <f t="shared" si="1"/>
        <v>13</v>
      </c>
      <c r="P5" s="952">
        <f t="shared" si="1"/>
        <v>14</v>
      </c>
      <c r="Q5" s="952">
        <f t="shared" si="1"/>
        <v>15</v>
      </c>
      <c r="R5" s="952">
        <f t="shared" si="1"/>
        <v>16</v>
      </c>
      <c r="S5" s="952">
        <f t="shared" si="1"/>
        <v>17</v>
      </c>
      <c r="T5" s="952">
        <f t="shared" si="1"/>
        <v>18</v>
      </c>
      <c r="U5" s="952">
        <f t="shared" si="1"/>
        <v>19</v>
      </c>
      <c r="V5" s="952">
        <f t="shared" si="1"/>
        <v>20</v>
      </c>
    </row>
    <row r="6" spans="1:22" ht="27" customHeight="1">
      <c r="A6" s="979"/>
      <c r="B6" s="980"/>
      <c r="C6" s="980"/>
      <c r="D6" s="980"/>
      <c r="E6" s="980"/>
      <c r="F6" s="980"/>
      <c r="G6" s="980"/>
      <c r="H6" s="980"/>
      <c r="I6" s="980"/>
      <c r="J6" s="980"/>
      <c r="K6" s="980"/>
      <c r="L6" s="980"/>
      <c r="M6" s="980"/>
      <c r="N6" s="980"/>
      <c r="O6" s="980"/>
      <c r="P6" s="980"/>
      <c r="Q6" s="980"/>
      <c r="R6" s="980"/>
      <c r="S6" s="980"/>
      <c r="T6" s="980"/>
      <c r="U6" s="980"/>
      <c r="V6" s="980"/>
    </row>
    <row r="7" spans="1:22">
      <c r="A7" s="953">
        <v>1</v>
      </c>
      <c r="B7" s="954" t="s">
        <v>93</v>
      </c>
      <c r="C7" s="955">
        <f>'2-1-13 SIS'!O7</f>
        <v>0</v>
      </c>
      <c r="D7" s="956">
        <f>'Table 3 Levels 1&amp;2'!AL8</f>
        <v>4597.5882673899441</v>
      </c>
      <c r="E7" s="1010">
        <f>C7*D7</f>
        <v>0</v>
      </c>
      <c r="F7" s="1010">
        <f>'Table 4 Level 3'!P6</f>
        <v>777.48</v>
      </c>
      <c r="G7" s="1010">
        <f>C7*F7</f>
        <v>0</v>
      </c>
      <c r="H7" s="957">
        <f>E7+G7</f>
        <v>0</v>
      </c>
      <c r="I7" s="1020">
        <f>-(0.25%*H7)</f>
        <v>0</v>
      </c>
      <c r="J7" s="957">
        <f>SUM(H7:I7)</f>
        <v>0</v>
      </c>
      <c r="K7" s="957">
        <v>0</v>
      </c>
      <c r="L7" s="957">
        <f>SUM(J7:K7)</f>
        <v>0</v>
      </c>
      <c r="M7" s="957">
        <f>L7/12</f>
        <v>0</v>
      </c>
      <c r="N7" s="981">
        <f>'Table 5C1A-Madison Prep'!N7</f>
        <v>2168</v>
      </c>
      <c r="O7" s="958">
        <f>C7*N7</f>
        <v>0</v>
      </c>
      <c r="P7" s="1028">
        <f>-(0.25%*O7)</f>
        <v>0</v>
      </c>
      <c r="Q7" s="958">
        <f>SUM(O7:P7)</f>
        <v>0</v>
      </c>
      <c r="R7" s="958">
        <v>0</v>
      </c>
      <c r="S7" s="958">
        <f>SUM(Q7:R7)</f>
        <v>0</v>
      </c>
      <c r="T7" s="958">
        <f>S7/12</f>
        <v>0</v>
      </c>
      <c r="U7" s="959">
        <f>L7+S7</f>
        <v>0</v>
      </c>
      <c r="V7" s="959">
        <f>M7+T7</f>
        <v>0</v>
      </c>
    </row>
    <row r="8" spans="1:22">
      <c r="A8" s="960">
        <v>2</v>
      </c>
      <c r="B8" s="961" t="s">
        <v>94</v>
      </c>
      <c r="C8" s="1078">
        <f>'2-1-13 SIS'!O8</f>
        <v>0</v>
      </c>
      <c r="D8" s="962">
        <f>'Table 3 Levels 1&amp;2'!AL9</f>
        <v>6182.4313545138375</v>
      </c>
      <c r="E8" s="1011">
        <f t="shared" ref="E8:E71" si="2">C8*D8</f>
        <v>0</v>
      </c>
      <c r="F8" s="1011">
        <f>'Table 4 Level 3'!P7</f>
        <v>842.32</v>
      </c>
      <c r="G8" s="1011">
        <f t="shared" ref="G8:G71" si="3">C8*F8</f>
        <v>0</v>
      </c>
      <c r="H8" s="982">
        <f t="shared" ref="H8:H71" si="4">E8+G8</f>
        <v>0</v>
      </c>
      <c r="I8" s="1021">
        <f t="shared" ref="I8:I71" si="5">-(0.25%*H8)</f>
        <v>0</v>
      </c>
      <c r="J8" s="982">
        <f t="shared" ref="J8:J71" si="6">SUM(H8:I8)</f>
        <v>0</v>
      </c>
      <c r="K8" s="982">
        <v>0</v>
      </c>
      <c r="L8" s="982">
        <f t="shared" ref="L8:L71" si="7">SUM(J8:K8)</f>
        <v>0</v>
      </c>
      <c r="M8" s="982">
        <f t="shared" ref="M8:M71" si="8">L8/12</f>
        <v>0</v>
      </c>
      <c r="N8" s="981">
        <f>'Table 5C1A-Madison Prep'!N8</f>
        <v>2627</v>
      </c>
      <c r="O8" s="983">
        <f t="shared" ref="O8:O71" si="9">C8*N8</f>
        <v>0</v>
      </c>
      <c r="P8" s="1029">
        <f t="shared" ref="P8:P71" si="10">-(0.25%*O8)</f>
        <v>0</v>
      </c>
      <c r="Q8" s="983">
        <f t="shared" ref="Q8:Q71" si="11">SUM(O8:P8)</f>
        <v>0</v>
      </c>
      <c r="R8" s="983">
        <v>0</v>
      </c>
      <c r="S8" s="983">
        <f t="shared" ref="S8:S71" si="12">SUM(Q8:R8)</f>
        <v>0</v>
      </c>
      <c r="T8" s="983">
        <f t="shared" ref="T8:T71" si="13">S8/12</f>
        <v>0</v>
      </c>
      <c r="U8" s="984">
        <f t="shared" ref="U8:V71" si="14">L8+S8</f>
        <v>0</v>
      </c>
      <c r="V8" s="984">
        <f t="shared" si="14"/>
        <v>0</v>
      </c>
    </row>
    <row r="9" spans="1:22">
      <c r="A9" s="960">
        <v>3</v>
      </c>
      <c r="B9" s="961" t="s">
        <v>95</v>
      </c>
      <c r="C9" s="1078">
        <f>'2-1-13 SIS'!O9</f>
        <v>0</v>
      </c>
      <c r="D9" s="962">
        <f>'Table 3 Levels 1&amp;2'!AL10</f>
        <v>4206.710737685361</v>
      </c>
      <c r="E9" s="1011">
        <f t="shared" si="2"/>
        <v>0</v>
      </c>
      <c r="F9" s="1011">
        <f>'Table 4 Level 3'!P8</f>
        <v>596.84</v>
      </c>
      <c r="G9" s="1011">
        <f t="shared" si="3"/>
        <v>0</v>
      </c>
      <c r="H9" s="982">
        <f t="shared" si="4"/>
        <v>0</v>
      </c>
      <c r="I9" s="1021">
        <f t="shared" si="5"/>
        <v>0</v>
      </c>
      <c r="J9" s="982">
        <f t="shared" si="6"/>
        <v>0</v>
      </c>
      <c r="K9" s="982">
        <v>0</v>
      </c>
      <c r="L9" s="982">
        <f t="shared" si="7"/>
        <v>0</v>
      </c>
      <c r="M9" s="982">
        <f t="shared" si="8"/>
        <v>0</v>
      </c>
      <c r="N9" s="981">
        <f>'Table 5C1A-Madison Prep'!N9</f>
        <v>5431</v>
      </c>
      <c r="O9" s="983">
        <f t="shared" si="9"/>
        <v>0</v>
      </c>
      <c r="P9" s="1029">
        <f t="shared" si="10"/>
        <v>0</v>
      </c>
      <c r="Q9" s="983">
        <f t="shared" si="11"/>
        <v>0</v>
      </c>
      <c r="R9" s="983">
        <v>0</v>
      </c>
      <c r="S9" s="983">
        <f t="shared" si="12"/>
        <v>0</v>
      </c>
      <c r="T9" s="983">
        <f t="shared" si="13"/>
        <v>0</v>
      </c>
      <c r="U9" s="984">
        <f t="shared" si="14"/>
        <v>0</v>
      </c>
      <c r="V9" s="984">
        <f t="shared" si="14"/>
        <v>0</v>
      </c>
    </row>
    <row r="10" spans="1:22">
      <c r="A10" s="960">
        <v>4</v>
      </c>
      <c r="B10" s="961" t="s">
        <v>96</v>
      </c>
      <c r="C10" s="1078">
        <f>'2-1-13 SIS'!O10</f>
        <v>0</v>
      </c>
      <c r="D10" s="962">
        <f>'Table 3 Levels 1&amp;2'!AL11</f>
        <v>5987.4993535453223</v>
      </c>
      <c r="E10" s="1011">
        <f t="shared" si="2"/>
        <v>0</v>
      </c>
      <c r="F10" s="1011">
        <f>'Table 4 Level 3'!P9</f>
        <v>585.76</v>
      </c>
      <c r="G10" s="1011">
        <f t="shared" si="3"/>
        <v>0</v>
      </c>
      <c r="H10" s="982">
        <f t="shared" si="4"/>
        <v>0</v>
      </c>
      <c r="I10" s="1021">
        <f t="shared" si="5"/>
        <v>0</v>
      </c>
      <c r="J10" s="982">
        <f t="shared" si="6"/>
        <v>0</v>
      </c>
      <c r="K10" s="982">
        <v>0</v>
      </c>
      <c r="L10" s="982">
        <f t="shared" si="7"/>
        <v>0</v>
      </c>
      <c r="M10" s="982">
        <f t="shared" si="8"/>
        <v>0</v>
      </c>
      <c r="N10" s="981">
        <f>'Table 5C1A-Madison Prep'!N10</f>
        <v>3029</v>
      </c>
      <c r="O10" s="983">
        <f t="shared" si="9"/>
        <v>0</v>
      </c>
      <c r="P10" s="1029">
        <f t="shared" si="10"/>
        <v>0</v>
      </c>
      <c r="Q10" s="983">
        <f t="shared" si="11"/>
        <v>0</v>
      </c>
      <c r="R10" s="983">
        <v>0</v>
      </c>
      <c r="S10" s="983">
        <f t="shared" si="12"/>
        <v>0</v>
      </c>
      <c r="T10" s="983">
        <f t="shared" si="13"/>
        <v>0</v>
      </c>
      <c r="U10" s="984">
        <f t="shared" si="14"/>
        <v>0</v>
      </c>
      <c r="V10" s="984">
        <f t="shared" si="14"/>
        <v>0</v>
      </c>
    </row>
    <row r="11" spans="1:22">
      <c r="A11" s="963">
        <v>5</v>
      </c>
      <c r="B11" s="964" t="s">
        <v>97</v>
      </c>
      <c r="C11" s="1079">
        <f>'2-1-13 SIS'!O11</f>
        <v>0</v>
      </c>
      <c r="D11" s="965">
        <f>'Table 3 Levels 1&amp;2'!AL12</f>
        <v>4986.8166927080074</v>
      </c>
      <c r="E11" s="1012">
        <f t="shared" si="2"/>
        <v>0</v>
      </c>
      <c r="F11" s="1012">
        <f>'Table 4 Level 3'!P10</f>
        <v>555.91</v>
      </c>
      <c r="G11" s="1012">
        <f t="shared" si="3"/>
        <v>0</v>
      </c>
      <c r="H11" s="985">
        <f t="shared" si="4"/>
        <v>0</v>
      </c>
      <c r="I11" s="1022">
        <f t="shared" si="5"/>
        <v>0</v>
      </c>
      <c r="J11" s="985">
        <f t="shared" si="6"/>
        <v>0</v>
      </c>
      <c r="K11" s="985">
        <v>0</v>
      </c>
      <c r="L11" s="985">
        <f t="shared" si="7"/>
        <v>0</v>
      </c>
      <c r="M11" s="985">
        <f t="shared" si="8"/>
        <v>0</v>
      </c>
      <c r="N11" s="986">
        <f>'Table 5C1A-Madison Prep'!N11</f>
        <v>1751</v>
      </c>
      <c r="O11" s="987">
        <f t="shared" si="9"/>
        <v>0</v>
      </c>
      <c r="P11" s="1030">
        <f t="shared" si="10"/>
        <v>0</v>
      </c>
      <c r="Q11" s="987">
        <f t="shared" si="11"/>
        <v>0</v>
      </c>
      <c r="R11" s="987">
        <v>0</v>
      </c>
      <c r="S11" s="987">
        <f t="shared" si="12"/>
        <v>0</v>
      </c>
      <c r="T11" s="987">
        <f t="shared" si="13"/>
        <v>0</v>
      </c>
      <c r="U11" s="988">
        <f t="shared" si="14"/>
        <v>0</v>
      </c>
      <c r="V11" s="988">
        <f t="shared" si="14"/>
        <v>0</v>
      </c>
    </row>
    <row r="12" spans="1:22">
      <c r="A12" s="953">
        <v>6</v>
      </c>
      <c r="B12" s="954" t="s">
        <v>98</v>
      </c>
      <c r="C12" s="1080">
        <f>'2-1-13 SIS'!O12</f>
        <v>0</v>
      </c>
      <c r="D12" s="956">
        <f>'Table 3 Levels 1&amp;2'!AL13</f>
        <v>5412.7883404260592</v>
      </c>
      <c r="E12" s="1010">
        <f t="shared" si="2"/>
        <v>0</v>
      </c>
      <c r="F12" s="1010">
        <f>'Table 4 Level 3'!P11</f>
        <v>545.4799999999999</v>
      </c>
      <c r="G12" s="1010">
        <f t="shared" si="3"/>
        <v>0</v>
      </c>
      <c r="H12" s="957">
        <f t="shared" si="4"/>
        <v>0</v>
      </c>
      <c r="I12" s="1020">
        <f t="shared" si="5"/>
        <v>0</v>
      </c>
      <c r="J12" s="957">
        <f t="shared" si="6"/>
        <v>0</v>
      </c>
      <c r="K12" s="957">
        <v>0</v>
      </c>
      <c r="L12" s="957">
        <f t="shared" si="7"/>
        <v>0</v>
      </c>
      <c r="M12" s="957">
        <f t="shared" si="8"/>
        <v>0</v>
      </c>
      <c r="N12" s="981">
        <f>'Table 5C1A-Madison Prep'!N12</f>
        <v>3735</v>
      </c>
      <c r="O12" s="958">
        <f t="shared" si="9"/>
        <v>0</v>
      </c>
      <c r="P12" s="1028">
        <f t="shared" si="10"/>
        <v>0</v>
      </c>
      <c r="Q12" s="958">
        <f t="shared" si="11"/>
        <v>0</v>
      </c>
      <c r="R12" s="958">
        <v>0</v>
      </c>
      <c r="S12" s="958">
        <f t="shared" si="12"/>
        <v>0</v>
      </c>
      <c r="T12" s="958">
        <f t="shared" si="13"/>
        <v>0</v>
      </c>
      <c r="U12" s="959">
        <f t="shared" si="14"/>
        <v>0</v>
      </c>
      <c r="V12" s="959">
        <f t="shared" si="14"/>
        <v>0</v>
      </c>
    </row>
    <row r="13" spans="1:22">
      <c r="A13" s="960">
        <v>7</v>
      </c>
      <c r="B13" s="961" t="s">
        <v>99</v>
      </c>
      <c r="C13" s="1078">
        <f>'2-1-13 SIS'!O13</f>
        <v>0</v>
      </c>
      <c r="D13" s="962">
        <f>'Table 3 Levels 1&amp;2'!AL14</f>
        <v>1766.1023604176123</v>
      </c>
      <c r="E13" s="1011">
        <f t="shared" si="2"/>
        <v>0</v>
      </c>
      <c r="F13" s="1011">
        <f>'Table 4 Level 3'!P12</f>
        <v>756.91999999999985</v>
      </c>
      <c r="G13" s="1011">
        <f t="shared" si="3"/>
        <v>0</v>
      </c>
      <c r="H13" s="982">
        <f t="shared" si="4"/>
        <v>0</v>
      </c>
      <c r="I13" s="1021">
        <f t="shared" si="5"/>
        <v>0</v>
      </c>
      <c r="J13" s="982">
        <f t="shared" si="6"/>
        <v>0</v>
      </c>
      <c r="K13" s="982">
        <v>0</v>
      </c>
      <c r="L13" s="982">
        <f t="shared" si="7"/>
        <v>0</v>
      </c>
      <c r="M13" s="982">
        <f t="shared" si="8"/>
        <v>0</v>
      </c>
      <c r="N13" s="981">
        <f>'Table 5C1A-Madison Prep'!N13</f>
        <v>11329</v>
      </c>
      <c r="O13" s="983">
        <f t="shared" si="9"/>
        <v>0</v>
      </c>
      <c r="P13" s="1029">
        <f t="shared" si="10"/>
        <v>0</v>
      </c>
      <c r="Q13" s="983">
        <f t="shared" si="11"/>
        <v>0</v>
      </c>
      <c r="R13" s="983">
        <v>0</v>
      </c>
      <c r="S13" s="983">
        <f t="shared" si="12"/>
        <v>0</v>
      </c>
      <c r="T13" s="983">
        <f t="shared" si="13"/>
        <v>0</v>
      </c>
      <c r="U13" s="984">
        <f t="shared" si="14"/>
        <v>0</v>
      </c>
      <c r="V13" s="984">
        <f t="shared" si="14"/>
        <v>0</v>
      </c>
    </row>
    <row r="14" spans="1:22">
      <c r="A14" s="960">
        <v>8</v>
      </c>
      <c r="B14" s="961" t="s">
        <v>100</v>
      </c>
      <c r="C14" s="1078">
        <f>'2-1-13 SIS'!O14</f>
        <v>0</v>
      </c>
      <c r="D14" s="962">
        <f>'Table 3 Levels 1&amp;2'!AL15</f>
        <v>4289.5073606712331</v>
      </c>
      <c r="E14" s="1011">
        <f t="shared" si="2"/>
        <v>0</v>
      </c>
      <c r="F14" s="1011">
        <f>'Table 4 Level 3'!P13</f>
        <v>725.76</v>
      </c>
      <c r="G14" s="1011">
        <f t="shared" si="3"/>
        <v>0</v>
      </c>
      <c r="H14" s="982">
        <f t="shared" si="4"/>
        <v>0</v>
      </c>
      <c r="I14" s="1021">
        <f t="shared" si="5"/>
        <v>0</v>
      </c>
      <c r="J14" s="982">
        <f t="shared" si="6"/>
        <v>0</v>
      </c>
      <c r="K14" s="982">
        <v>0</v>
      </c>
      <c r="L14" s="982">
        <f t="shared" si="7"/>
        <v>0</v>
      </c>
      <c r="M14" s="982">
        <f t="shared" si="8"/>
        <v>0</v>
      </c>
      <c r="N14" s="981">
        <f>'Table 5C1A-Madison Prep'!N14</f>
        <v>3915</v>
      </c>
      <c r="O14" s="983">
        <f t="shared" si="9"/>
        <v>0</v>
      </c>
      <c r="P14" s="1029">
        <f t="shared" si="10"/>
        <v>0</v>
      </c>
      <c r="Q14" s="983">
        <f t="shared" si="11"/>
        <v>0</v>
      </c>
      <c r="R14" s="983">
        <v>0</v>
      </c>
      <c r="S14" s="983">
        <f t="shared" si="12"/>
        <v>0</v>
      </c>
      <c r="T14" s="983">
        <f t="shared" si="13"/>
        <v>0</v>
      </c>
      <c r="U14" s="984">
        <f t="shared" si="14"/>
        <v>0</v>
      </c>
      <c r="V14" s="984">
        <f t="shared" si="14"/>
        <v>0</v>
      </c>
    </row>
    <row r="15" spans="1:22">
      <c r="A15" s="960">
        <v>9</v>
      </c>
      <c r="B15" s="961" t="s">
        <v>101</v>
      </c>
      <c r="C15" s="1078">
        <f>'2-1-13 SIS'!O15</f>
        <v>0</v>
      </c>
      <c r="D15" s="962">
        <f>'Table 3 Levels 1&amp;2'!AL16</f>
        <v>4395.6154516889328</v>
      </c>
      <c r="E15" s="1011">
        <f t="shared" si="2"/>
        <v>0</v>
      </c>
      <c r="F15" s="1011">
        <f>'Table 4 Level 3'!P14</f>
        <v>744.76</v>
      </c>
      <c r="G15" s="1011">
        <f t="shared" si="3"/>
        <v>0</v>
      </c>
      <c r="H15" s="982">
        <f t="shared" si="4"/>
        <v>0</v>
      </c>
      <c r="I15" s="1021">
        <f t="shared" si="5"/>
        <v>0</v>
      </c>
      <c r="J15" s="982">
        <f t="shared" si="6"/>
        <v>0</v>
      </c>
      <c r="K15" s="982">
        <v>0</v>
      </c>
      <c r="L15" s="982">
        <f t="shared" si="7"/>
        <v>0</v>
      </c>
      <c r="M15" s="982">
        <f t="shared" si="8"/>
        <v>0</v>
      </c>
      <c r="N15" s="981">
        <f>'Table 5C1A-Madison Prep'!N15</f>
        <v>4627</v>
      </c>
      <c r="O15" s="983">
        <f t="shared" si="9"/>
        <v>0</v>
      </c>
      <c r="P15" s="1029">
        <f t="shared" si="10"/>
        <v>0</v>
      </c>
      <c r="Q15" s="983">
        <f t="shared" si="11"/>
        <v>0</v>
      </c>
      <c r="R15" s="983">
        <v>0</v>
      </c>
      <c r="S15" s="983">
        <f t="shared" si="12"/>
        <v>0</v>
      </c>
      <c r="T15" s="983">
        <f t="shared" si="13"/>
        <v>0</v>
      </c>
      <c r="U15" s="984">
        <f t="shared" si="14"/>
        <v>0</v>
      </c>
      <c r="V15" s="984">
        <f t="shared" si="14"/>
        <v>0</v>
      </c>
    </row>
    <row r="16" spans="1:22">
      <c r="A16" s="963">
        <v>10</v>
      </c>
      <c r="B16" s="964" t="s">
        <v>102</v>
      </c>
      <c r="C16" s="1079">
        <f>'2-1-13 SIS'!O16</f>
        <v>0</v>
      </c>
      <c r="D16" s="965">
        <f>'Table 3 Levels 1&amp;2'!AL17</f>
        <v>4253.5980618992444</v>
      </c>
      <c r="E16" s="1012">
        <f t="shared" si="2"/>
        <v>0</v>
      </c>
      <c r="F16" s="1012">
        <f>'Table 4 Level 3'!P15</f>
        <v>608.04000000000008</v>
      </c>
      <c r="G16" s="1012">
        <f t="shared" si="3"/>
        <v>0</v>
      </c>
      <c r="H16" s="985">
        <f t="shared" si="4"/>
        <v>0</v>
      </c>
      <c r="I16" s="1022">
        <f t="shared" si="5"/>
        <v>0</v>
      </c>
      <c r="J16" s="985">
        <f t="shared" si="6"/>
        <v>0</v>
      </c>
      <c r="K16" s="985">
        <v>0</v>
      </c>
      <c r="L16" s="985">
        <f t="shared" si="7"/>
        <v>0</v>
      </c>
      <c r="M16" s="985">
        <f t="shared" si="8"/>
        <v>0</v>
      </c>
      <c r="N16" s="986">
        <f>'Table 5C1A-Madison Prep'!N16</f>
        <v>4489</v>
      </c>
      <c r="O16" s="987">
        <f t="shared" si="9"/>
        <v>0</v>
      </c>
      <c r="P16" s="1030">
        <f t="shared" si="10"/>
        <v>0</v>
      </c>
      <c r="Q16" s="987">
        <f t="shared" si="11"/>
        <v>0</v>
      </c>
      <c r="R16" s="987">
        <v>0</v>
      </c>
      <c r="S16" s="987">
        <f t="shared" si="12"/>
        <v>0</v>
      </c>
      <c r="T16" s="987">
        <f t="shared" si="13"/>
        <v>0</v>
      </c>
      <c r="U16" s="988">
        <f t="shared" si="14"/>
        <v>0</v>
      </c>
      <c r="V16" s="988">
        <f t="shared" si="14"/>
        <v>0</v>
      </c>
    </row>
    <row r="17" spans="1:22">
      <c r="A17" s="953">
        <v>11</v>
      </c>
      <c r="B17" s="954" t="s">
        <v>103</v>
      </c>
      <c r="C17" s="1080">
        <f>'2-1-13 SIS'!O17</f>
        <v>0</v>
      </c>
      <c r="D17" s="956">
        <f>'Table 3 Levels 1&amp;2'!AL18</f>
        <v>6852.9138435383502</v>
      </c>
      <c r="E17" s="1010">
        <f t="shared" si="2"/>
        <v>0</v>
      </c>
      <c r="F17" s="1010">
        <f>'Table 4 Level 3'!P16</f>
        <v>706.55</v>
      </c>
      <c r="G17" s="1010">
        <f t="shared" si="3"/>
        <v>0</v>
      </c>
      <c r="H17" s="957">
        <f t="shared" si="4"/>
        <v>0</v>
      </c>
      <c r="I17" s="1020">
        <f t="shared" si="5"/>
        <v>0</v>
      </c>
      <c r="J17" s="957">
        <f t="shared" si="6"/>
        <v>0</v>
      </c>
      <c r="K17" s="957">
        <v>0</v>
      </c>
      <c r="L17" s="957">
        <f t="shared" si="7"/>
        <v>0</v>
      </c>
      <c r="M17" s="957">
        <f t="shared" si="8"/>
        <v>0</v>
      </c>
      <c r="N17" s="981">
        <f>'Table 5C1A-Madison Prep'!N17</f>
        <v>3654</v>
      </c>
      <c r="O17" s="958">
        <f t="shared" si="9"/>
        <v>0</v>
      </c>
      <c r="P17" s="1028">
        <f t="shared" si="10"/>
        <v>0</v>
      </c>
      <c r="Q17" s="958">
        <f t="shared" si="11"/>
        <v>0</v>
      </c>
      <c r="R17" s="958">
        <v>0</v>
      </c>
      <c r="S17" s="958">
        <f t="shared" si="12"/>
        <v>0</v>
      </c>
      <c r="T17" s="958">
        <f t="shared" si="13"/>
        <v>0</v>
      </c>
      <c r="U17" s="959">
        <f t="shared" si="14"/>
        <v>0</v>
      </c>
      <c r="V17" s="959">
        <f t="shared" si="14"/>
        <v>0</v>
      </c>
    </row>
    <row r="18" spans="1:22">
      <c r="A18" s="960">
        <v>12</v>
      </c>
      <c r="B18" s="961" t="s">
        <v>104</v>
      </c>
      <c r="C18" s="1078">
        <f>'2-1-13 SIS'!O18</f>
        <v>0</v>
      </c>
      <c r="D18" s="962">
        <f>'Table 3 Levels 1&amp;2'!AL19</f>
        <v>1733.9056059356967</v>
      </c>
      <c r="E18" s="1011">
        <f t="shared" si="2"/>
        <v>0</v>
      </c>
      <c r="F18" s="1011">
        <f>'Table 4 Level 3'!P17</f>
        <v>1063.31</v>
      </c>
      <c r="G18" s="1011">
        <f t="shared" si="3"/>
        <v>0</v>
      </c>
      <c r="H18" s="982">
        <f t="shared" si="4"/>
        <v>0</v>
      </c>
      <c r="I18" s="1021">
        <f t="shared" si="5"/>
        <v>0</v>
      </c>
      <c r="J18" s="982">
        <f t="shared" si="6"/>
        <v>0</v>
      </c>
      <c r="K18" s="982">
        <v>0</v>
      </c>
      <c r="L18" s="982">
        <f t="shared" si="7"/>
        <v>0</v>
      </c>
      <c r="M18" s="982">
        <f t="shared" si="8"/>
        <v>0</v>
      </c>
      <c r="N18" s="981">
        <f>'Table 5C1A-Madison Prep'!N18</f>
        <v>13767</v>
      </c>
      <c r="O18" s="983">
        <f t="shared" si="9"/>
        <v>0</v>
      </c>
      <c r="P18" s="1029">
        <f t="shared" si="10"/>
        <v>0</v>
      </c>
      <c r="Q18" s="983">
        <f t="shared" si="11"/>
        <v>0</v>
      </c>
      <c r="R18" s="983">
        <v>0</v>
      </c>
      <c r="S18" s="983">
        <f t="shared" si="12"/>
        <v>0</v>
      </c>
      <c r="T18" s="983">
        <f t="shared" si="13"/>
        <v>0</v>
      </c>
      <c r="U18" s="984">
        <f t="shared" si="14"/>
        <v>0</v>
      </c>
      <c r="V18" s="984">
        <f t="shared" si="14"/>
        <v>0</v>
      </c>
    </row>
    <row r="19" spans="1:22">
      <c r="A19" s="960">
        <v>13</v>
      </c>
      <c r="B19" s="961" t="s">
        <v>105</v>
      </c>
      <c r="C19" s="1078">
        <f>'2-1-13 SIS'!O19</f>
        <v>0</v>
      </c>
      <c r="D19" s="962">
        <f>'Table 3 Levels 1&amp;2'!AL20</f>
        <v>6254.1238637730876</v>
      </c>
      <c r="E19" s="1011">
        <f t="shared" si="2"/>
        <v>0</v>
      </c>
      <c r="F19" s="1011">
        <f>'Table 4 Level 3'!P18</f>
        <v>749.43000000000006</v>
      </c>
      <c r="G19" s="1011">
        <f t="shared" si="3"/>
        <v>0</v>
      </c>
      <c r="H19" s="982">
        <f t="shared" si="4"/>
        <v>0</v>
      </c>
      <c r="I19" s="1021">
        <f t="shared" si="5"/>
        <v>0</v>
      </c>
      <c r="J19" s="982">
        <f t="shared" si="6"/>
        <v>0</v>
      </c>
      <c r="K19" s="982">
        <v>0</v>
      </c>
      <c r="L19" s="982">
        <f t="shared" si="7"/>
        <v>0</v>
      </c>
      <c r="M19" s="982">
        <f t="shared" si="8"/>
        <v>0</v>
      </c>
      <c r="N19" s="981">
        <f>'Table 5C1A-Madison Prep'!N19</f>
        <v>2525</v>
      </c>
      <c r="O19" s="983">
        <f t="shared" si="9"/>
        <v>0</v>
      </c>
      <c r="P19" s="1029">
        <f t="shared" si="10"/>
        <v>0</v>
      </c>
      <c r="Q19" s="983">
        <f t="shared" si="11"/>
        <v>0</v>
      </c>
      <c r="R19" s="983">
        <v>0</v>
      </c>
      <c r="S19" s="983">
        <f t="shared" si="12"/>
        <v>0</v>
      </c>
      <c r="T19" s="983">
        <f t="shared" si="13"/>
        <v>0</v>
      </c>
      <c r="U19" s="984">
        <f t="shared" si="14"/>
        <v>0</v>
      </c>
      <c r="V19" s="984">
        <f t="shared" si="14"/>
        <v>0</v>
      </c>
    </row>
    <row r="20" spans="1:22">
      <c r="A20" s="960">
        <v>14</v>
      </c>
      <c r="B20" s="961" t="s">
        <v>106</v>
      </c>
      <c r="C20" s="1078">
        <f>'2-1-13 SIS'!O20</f>
        <v>0</v>
      </c>
      <c r="D20" s="962">
        <f>'Table 3 Levels 1&amp;2'!AL21</f>
        <v>5377.9187438545459</v>
      </c>
      <c r="E20" s="1011">
        <f t="shared" si="2"/>
        <v>0</v>
      </c>
      <c r="F20" s="1011">
        <f>'Table 4 Level 3'!P19</f>
        <v>809.9799999999999</v>
      </c>
      <c r="G20" s="1011">
        <f t="shared" si="3"/>
        <v>0</v>
      </c>
      <c r="H20" s="982">
        <f t="shared" si="4"/>
        <v>0</v>
      </c>
      <c r="I20" s="1021">
        <f t="shared" si="5"/>
        <v>0</v>
      </c>
      <c r="J20" s="982">
        <f t="shared" si="6"/>
        <v>0</v>
      </c>
      <c r="K20" s="982">
        <v>0</v>
      </c>
      <c r="L20" s="982">
        <f t="shared" si="7"/>
        <v>0</v>
      </c>
      <c r="M20" s="982">
        <f t="shared" si="8"/>
        <v>0</v>
      </c>
      <c r="N20" s="981">
        <f>'Table 5C1A-Madison Prep'!N20</f>
        <v>3988</v>
      </c>
      <c r="O20" s="983">
        <f t="shared" si="9"/>
        <v>0</v>
      </c>
      <c r="P20" s="1029">
        <f t="shared" si="10"/>
        <v>0</v>
      </c>
      <c r="Q20" s="983">
        <f t="shared" si="11"/>
        <v>0</v>
      </c>
      <c r="R20" s="983">
        <v>0</v>
      </c>
      <c r="S20" s="983">
        <f t="shared" si="12"/>
        <v>0</v>
      </c>
      <c r="T20" s="983">
        <f t="shared" si="13"/>
        <v>0</v>
      </c>
      <c r="U20" s="984">
        <f t="shared" si="14"/>
        <v>0</v>
      </c>
      <c r="V20" s="984">
        <f t="shared" si="14"/>
        <v>0</v>
      </c>
    </row>
    <row r="21" spans="1:22">
      <c r="A21" s="963">
        <v>15</v>
      </c>
      <c r="B21" s="964" t="s">
        <v>107</v>
      </c>
      <c r="C21" s="1079">
        <f>'2-1-13 SIS'!O21</f>
        <v>0</v>
      </c>
      <c r="D21" s="965">
        <f>'Table 3 Levels 1&amp;2'!AL22</f>
        <v>5527.7651197617861</v>
      </c>
      <c r="E21" s="1012">
        <f t="shared" si="2"/>
        <v>0</v>
      </c>
      <c r="F21" s="1012">
        <f>'Table 4 Level 3'!P20</f>
        <v>553.79999999999995</v>
      </c>
      <c r="G21" s="1012">
        <f t="shared" si="3"/>
        <v>0</v>
      </c>
      <c r="H21" s="985">
        <f t="shared" si="4"/>
        <v>0</v>
      </c>
      <c r="I21" s="1022">
        <f t="shared" si="5"/>
        <v>0</v>
      </c>
      <c r="J21" s="985">
        <f t="shared" si="6"/>
        <v>0</v>
      </c>
      <c r="K21" s="985">
        <v>0</v>
      </c>
      <c r="L21" s="985">
        <f t="shared" si="7"/>
        <v>0</v>
      </c>
      <c r="M21" s="985">
        <f t="shared" si="8"/>
        <v>0</v>
      </c>
      <c r="N21" s="986">
        <f>'Table 5C1A-Madison Prep'!N21</f>
        <v>2544</v>
      </c>
      <c r="O21" s="987">
        <f t="shared" si="9"/>
        <v>0</v>
      </c>
      <c r="P21" s="1030">
        <f t="shared" si="10"/>
        <v>0</v>
      </c>
      <c r="Q21" s="987">
        <f t="shared" si="11"/>
        <v>0</v>
      </c>
      <c r="R21" s="987">
        <v>0</v>
      </c>
      <c r="S21" s="987">
        <f t="shared" si="12"/>
        <v>0</v>
      </c>
      <c r="T21" s="987">
        <f t="shared" si="13"/>
        <v>0</v>
      </c>
      <c r="U21" s="988">
        <f t="shared" si="14"/>
        <v>0</v>
      </c>
      <c r="V21" s="988">
        <f t="shared" si="14"/>
        <v>0</v>
      </c>
    </row>
    <row r="22" spans="1:22">
      <c r="A22" s="953">
        <v>16</v>
      </c>
      <c r="B22" s="954" t="s">
        <v>108</v>
      </c>
      <c r="C22" s="1080">
        <f>'2-1-13 SIS'!O22</f>
        <v>0</v>
      </c>
      <c r="D22" s="956">
        <f>'Table 3 Levels 1&amp;2'!AL23</f>
        <v>1530.3678845377474</v>
      </c>
      <c r="E22" s="1010">
        <f t="shared" si="2"/>
        <v>0</v>
      </c>
      <c r="F22" s="1010">
        <f>'Table 4 Level 3'!P21</f>
        <v>686.73</v>
      </c>
      <c r="G22" s="1010">
        <f t="shared" si="3"/>
        <v>0</v>
      </c>
      <c r="H22" s="957">
        <f t="shared" si="4"/>
        <v>0</v>
      </c>
      <c r="I22" s="1020">
        <f t="shared" si="5"/>
        <v>0</v>
      </c>
      <c r="J22" s="957">
        <f t="shared" si="6"/>
        <v>0</v>
      </c>
      <c r="K22" s="957">
        <v>0</v>
      </c>
      <c r="L22" s="957">
        <f t="shared" si="7"/>
        <v>0</v>
      </c>
      <c r="M22" s="957">
        <f t="shared" si="8"/>
        <v>0</v>
      </c>
      <c r="N22" s="981">
        <f>'Table 5C1A-Madison Prep'!N22</f>
        <v>12132</v>
      </c>
      <c r="O22" s="958">
        <f t="shared" si="9"/>
        <v>0</v>
      </c>
      <c r="P22" s="1028">
        <f t="shared" si="10"/>
        <v>0</v>
      </c>
      <c r="Q22" s="958">
        <f t="shared" si="11"/>
        <v>0</v>
      </c>
      <c r="R22" s="958">
        <v>0</v>
      </c>
      <c r="S22" s="958">
        <f t="shared" si="12"/>
        <v>0</v>
      </c>
      <c r="T22" s="958">
        <f t="shared" si="13"/>
        <v>0</v>
      </c>
      <c r="U22" s="959">
        <f t="shared" si="14"/>
        <v>0</v>
      </c>
      <c r="V22" s="959">
        <f t="shared" si="14"/>
        <v>0</v>
      </c>
    </row>
    <row r="23" spans="1:22">
      <c r="A23" s="960">
        <v>17</v>
      </c>
      <c r="B23" s="961" t="s">
        <v>109</v>
      </c>
      <c r="C23" s="1078">
        <f>'2-1-13 SIS'!O23</f>
        <v>0</v>
      </c>
      <c r="D23" s="962">
        <f>'Table 3 Levels 1&amp;2'!AL24</f>
        <v>3313.0666313017805</v>
      </c>
      <c r="E23" s="1011">
        <f t="shared" si="2"/>
        <v>0</v>
      </c>
      <c r="F23" s="1011">
        <f>'Table 5B2_RSD_LA'!F7</f>
        <v>801.47762416806802</v>
      </c>
      <c r="G23" s="1011">
        <f t="shared" si="3"/>
        <v>0</v>
      </c>
      <c r="H23" s="982">
        <f t="shared" si="4"/>
        <v>0</v>
      </c>
      <c r="I23" s="1021">
        <f t="shared" si="5"/>
        <v>0</v>
      </c>
      <c r="J23" s="982">
        <f t="shared" si="6"/>
        <v>0</v>
      </c>
      <c r="K23" s="982">
        <v>0</v>
      </c>
      <c r="L23" s="982">
        <f t="shared" si="7"/>
        <v>0</v>
      </c>
      <c r="M23" s="982">
        <f t="shared" si="8"/>
        <v>0</v>
      </c>
      <c r="N23" s="981">
        <f>'Table 5C1A-Madison Prep'!N23</f>
        <v>6764</v>
      </c>
      <c r="O23" s="983">
        <f t="shared" si="9"/>
        <v>0</v>
      </c>
      <c r="P23" s="1029">
        <f t="shared" si="10"/>
        <v>0</v>
      </c>
      <c r="Q23" s="983">
        <f t="shared" si="11"/>
        <v>0</v>
      </c>
      <c r="R23" s="983">
        <v>0</v>
      </c>
      <c r="S23" s="983">
        <f t="shared" si="12"/>
        <v>0</v>
      </c>
      <c r="T23" s="983">
        <f t="shared" si="13"/>
        <v>0</v>
      </c>
      <c r="U23" s="984">
        <f t="shared" si="14"/>
        <v>0</v>
      </c>
      <c r="V23" s="984">
        <f t="shared" si="14"/>
        <v>0</v>
      </c>
    </row>
    <row r="24" spans="1:22">
      <c r="A24" s="960">
        <v>18</v>
      </c>
      <c r="B24" s="961" t="s">
        <v>110</v>
      </c>
      <c r="C24" s="1078">
        <f>'2-1-13 SIS'!O24</f>
        <v>0</v>
      </c>
      <c r="D24" s="962">
        <f>'Table 3 Levels 1&amp;2'!AL25</f>
        <v>5989.1351892854573</v>
      </c>
      <c r="E24" s="1011">
        <f t="shared" si="2"/>
        <v>0</v>
      </c>
      <c r="F24" s="1011">
        <f>'Table 4 Level 3'!P23</f>
        <v>845.94999999999993</v>
      </c>
      <c r="G24" s="1011">
        <f t="shared" si="3"/>
        <v>0</v>
      </c>
      <c r="H24" s="982">
        <f t="shared" si="4"/>
        <v>0</v>
      </c>
      <c r="I24" s="1021">
        <f t="shared" si="5"/>
        <v>0</v>
      </c>
      <c r="J24" s="982">
        <f t="shared" si="6"/>
        <v>0</v>
      </c>
      <c r="K24" s="982">
        <v>0</v>
      </c>
      <c r="L24" s="982">
        <f t="shared" si="7"/>
        <v>0</v>
      </c>
      <c r="M24" s="982">
        <f t="shared" si="8"/>
        <v>0</v>
      </c>
      <c r="N24" s="981">
        <f>'Table 5C1A-Madison Prep'!N24</f>
        <v>2925</v>
      </c>
      <c r="O24" s="983">
        <f t="shared" si="9"/>
        <v>0</v>
      </c>
      <c r="P24" s="1029">
        <f t="shared" si="10"/>
        <v>0</v>
      </c>
      <c r="Q24" s="983">
        <f t="shared" si="11"/>
        <v>0</v>
      </c>
      <c r="R24" s="983">
        <v>0</v>
      </c>
      <c r="S24" s="983">
        <f t="shared" si="12"/>
        <v>0</v>
      </c>
      <c r="T24" s="983">
        <f t="shared" si="13"/>
        <v>0</v>
      </c>
      <c r="U24" s="984">
        <f t="shared" si="14"/>
        <v>0</v>
      </c>
      <c r="V24" s="984">
        <f t="shared" si="14"/>
        <v>0</v>
      </c>
    </row>
    <row r="25" spans="1:22">
      <c r="A25" s="960">
        <v>19</v>
      </c>
      <c r="B25" s="961" t="s">
        <v>111</v>
      </c>
      <c r="C25" s="1078">
        <f>'2-1-13 SIS'!O25</f>
        <v>0</v>
      </c>
      <c r="D25" s="962">
        <f>'Table 3 Levels 1&amp;2'!AL26</f>
        <v>5315.8913399708035</v>
      </c>
      <c r="E25" s="1011">
        <f t="shared" si="2"/>
        <v>0</v>
      </c>
      <c r="F25" s="1011">
        <f>'Table 4 Level 3'!P24</f>
        <v>905.43</v>
      </c>
      <c r="G25" s="1011">
        <f t="shared" si="3"/>
        <v>0</v>
      </c>
      <c r="H25" s="982">
        <f t="shared" si="4"/>
        <v>0</v>
      </c>
      <c r="I25" s="1021">
        <f t="shared" si="5"/>
        <v>0</v>
      </c>
      <c r="J25" s="982">
        <f t="shared" si="6"/>
        <v>0</v>
      </c>
      <c r="K25" s="982">
        <v>0</v>
      </c>
      <c r="L25" s="982">
        <f t="shared" si="7"/>
        <v>0</v>
      </c>
      <c r="M25" s="982">
        <f t="shared" si="8"/>
        <v>0</v>
      </c>
      <c r="N25" s="981">
        <f>'Table 5C1A-Madison Prep'!N25</f>
        <v>2570</v>
      </c>
      <c r="O25" s="983">
        <f t="shared" si="9"/>
        <v>0</v>
      </c>
      <c r="P25" s="1029">
        <f t="shared" si="10"/>
        <v>0</v>
      </c>
      <c r="Q25" s="983">
        <f t="shared" si="11"/>
        <v>0</v>
      </c>
      <c r="R25" s="983">
        <v>0</v>
      </c>
      <c r="S25" s="983">
        <f t="shared" si="12"/>
        <v>0</v>
      </c>
      <c r="T25" s="983">
        <f t="shared" si="13"/>
        <v>0</v>
      </c>
      <c r="U25" s="984">
        <f t="shared" si="14"/>
        <v>0</v>
      </c>
      <c r="V25" s="984">
        <f t="shared" si="14"/>
        <v>0</v>
      </c>
    </row>
    <row r="26" spans="1:22">
      <c r="A26" s="963">
        <v>20</v>
      </c>
      <c r="B26" s="964" t="s">
        <v>112</v>
      </c>
      <c r="C26" s="1079">
        <f>'2-1-13 SIS'!O26</f>
        <v>0</v>
      </c>
      <c r="D26" s="965">
        <f>'Table 3 Levels 1&amp;2'!AL27</f>
        <v>5420.2042919205833</v>
      </c>
      <c r="E26" s="1012">
        <f t="shared" si="2"/>
        <v>0</v>
      </c>
      <c r="F26" s="1012">
        <f>'Table 4 Level 3'!P25</f>
        <v>586.16999999999996</v>
      </c>
      <c r="G26" s="1012">
        <f t="shared" si="3"/>
        <v>0</v>
      </c>
      <c r="H26" s="985">
        <f t="shared" si="4"/>
        <v>0</v>
      </c>
      <c r="I26" s="1022">
        <f t="shared" si="5"/>
        <v>0</v>
      </c>
      <c r="J26" s="985">
        <f t="shared" si="6"/>
        <v>0</v>
      </c>
      <c r="K26" s="985">
        <v>0</v>
      </c>
      <c r="L26" s="985">
        <f t="shared" si="7"/>
        <v>0</v>
      </c>
      <c r="M26" s="985">
        <f t="shared" si="8"/>
        <v>0</v>
      </c>
      <c r="N26" s="986">
        <f>'Table 5C1A-Madison Prep'!N26</f>
        <v>2420</v>
      </c>
      <c r="O26" s="987">
        <f t="shared" si="9"/>
        <v>0</v>
      </c>
      <c r="P26" s="1030">
        <f t="shared" si="10"/>
        <v>0</v>
      </c>
      <c r="Q26" s="987">
        <f t="shared" si="11"/>
        <v>0</v>
      </c>
      <c r="R26" s="987">
        <v>0</v>
      </c>
      <c r="S26" s="987">
        <f t="shared" si="12"/>
        <v>0</v>
      </c>
      <c r="T26" s="987">
        <f t="shared" si="13"/>
        <v>0</v>
      </c>
      <c r="U26" s="988">
        <f t="shared" si="14"/>
        <v>0</v>
      </c>
      <c r="V26" s="988">
        <f t="shared" si="14"/>
        <v>0</v>
      </c>
    </row>
    <row r="27" spans="1:22">
      <c r="A27" s="953">
        <v>21</v>
      </c>
      <c r="B27" s="954" t="s">
        <v>113</v>
      </c>
      <c r="C27" s="1080">
        <f>'2-1-13 SIS'!O27</f>
        <v>0</v>
      </c>
      <c r="D27" s="956">
        <f>'Table 3 Levels 1&amp;2'!AL28</f>
        <v>5724.5404916279067</v>
      </c>
      <c r="E27" s="1010">
        <f t="shared" si="2"/>
        <v>0</v>
      </c>
      <c r="F27" s="1010">
        <f>'Table 4 Level 3'!P26</f>
        <v>610.35</v>
      </c>
      <c r="G27" s="1010">
        <f t="shared" si="3"/>
        <v>0</v>
      </c>
      <c r="H27" s="957">
        <f t="shared" si="4"/>
        <v>0</v>
      </c>
      <c r="I27" s="1020">
        <f t="shared" si="5"/>
        <v>0</v>
      </c>
      <c r="J27" s="957">
        <f t="shared" si="6"/>
        <v>0</v>
      </c>
      <c r="K27" s="957">
        <v>0</v>
      </c>
      <c r="L27" s="957">
        <f t="shared" si="7"/>
        <v>0</v>
      </c>
      <c r="M27" s="957">
        <f t="shared" si="8"/>
        <v>0</v>
      </c>
      <c r="N27" s="981">
        <f>'Table 5C1A-Madison Prep'!N27</f>
        <v>2265</v>
      </c>
      <c r="O27" s="958">
        <f t="shared" si="9"/>
        <v>0</v>
      </c>
      <c r="P27" s="1028">
        <f t="shared" si="10"/>
        <v>0</v>
      </c>
      <c r="Q27" s="958">
        <f t="shared" si="11"/>
        <v>0</v>
      </c>
      <c r="R27" s="958">
        <v>0</v>
      </c>
      <c r="S27" s="958">
        <f t="shared" si="12"/>
        <v>0</v>
      </c>
      <c r="T27" s="958">
        <f t="shared" si="13"/>
        <v>0</v>
      </c>
      <c r="U27" s="959">
        <f t="shared" si="14"/>
        <v>0</v>
      </c>
      <c r="V27" s="959">
        <f t="shared" si="14"/>
        <v>0</v>
      </c>
    </row>
    <row r="28" spans="1:22">
      <c r="A28" s="960">
        <v>22</v>
      </c>
      <c r="B28" s="961" t="s">
        <v>114</v>
      </c>
      <c r="C28" s="1078">
        <f>'2-1-13 SIS'!O28</f>
        <v>0</v>
      </c>
      <c r="D28" s="962">
        <f>'Table 3 Levels 1&amp;2'!AL29</f>
        <v>6203.2933768722742</v>
      </c>
      <c r="E28" s="1011">
        <f t="shared" si="2"/>
        <v>0</v>
      </c>
      <c r="F28" s="1011">
        <f>'Table 4 Level 3'!P27</f>
        <v>496.36</v>
      </c>
      <c r="G28" s="1011">
        <f t="shared" si="3"/>
        <v>0</v>
      </c>
      <c r="H28" s="982">
        <f t="shared" si="4"/>
        <v>0</v>
      </c>
      <c r="I28" s="1021">
        <f t="shared" si="5"/>
        <v>0</v>
      </c>
      <c r="J28" s="982">
        <f t="shared" si="6"/>
        <v>0</v>
      </c>
      <c r="K28" s="982">
        <v>0</v>
      </c>
      <c r="L28" s="982">
        <f t="shared" si="7"/>
        <v>0</v>
      </c>
      <c r="M28" s="982">
        <f t="shared" si="8"/>
        <v>0</v>
      </c>
      <c r="N28" s="981">
        <f>'Table 5C1A-Madison Prep'!N28</f>
        <v>1438</v>
      </c>
      <c r="O28" s="983">
        <f t="shared" si="9"/>
        <v>0</v>
      </c>
      <c r="P28" s="1029">
        <f t="shared" si="10"/>
        <v>0</v>
      </c>
      <c r="Q28" s="983">
        <f t="shared" si="11"/>
        <v>0</v>
      </c>
      <c r="R28" s="983">
        <v>0</v>
      </c>
      <c r="S28" s="983">
        <f t="shared" si="12"/>
        <v>0</v>
      </c>
      <c r="T28" s="983">
        <f t="shared" si="13"/>
        <v>0</v>
      </c>
      <c r="U28" s="984">
        <f t="shared" si="14"/>
        <v>0</v>
      </c>
      <c r="V28" s="984">
        <f t="shared" si="14"/>
        <v>0</v>
      </c>
    </row>
    <row r="29" spans="1:22">
      <c r="A29" s="960">
        <v>23</v>
      </c>
      <c r="B29" s="961" t="s">
        <v>115</v>
      </c>
      <c r="C29" s="1078">
        <f>'2-1-13 SIS'!O29</f>
        <v>0</v>
      </c>
      <c r="D29" s="962">
        <f>'Table 3 Levels 1&amp;2'!AL30</f>
        <v>4846.0802490067681</v>
      </c>
      <c r="E29" s="1011">
        <f t="shared" si="2"/>
        <v>0</v>
      </c>
      <c r="F29" s="1011">
        <f>'Table 4 Level 3'!P28</f>
        <v>688.58</v>
      </c>
      <c r="G29" s="1011">
        <f t="shared" si="3"/>
        <v>0</v>
      </c>
      <c r="H29" s="982">
        <f t="shared" si="4"/>
        <v>0</v>
      </c>
      <c r="I29" s="1021">
        <f t="shared" si="5"/>
        <v>0</v>
      </c>
      <c r="J29" s="982">
        <f t="shared" si="6"/>
        <v>0</v>
      </c>
      <c r="K29" s="982">
        <v>0</v>
      </c>
      <c r="L29" s="982">
        <f t="shared" si="7"/>
        <v>0</v>
      </c>
      <c r="M29" s="982">
        <f t="shared" si="8"/>
        <v>0</v>
      </c>
      <c r="N29" s="981">
        <f>'Table 5C1A-Madison Prep'!N29</f>
        <v>3386</v>
      </c>
      <c r="O29" s="983">
        <f t="shared" si="9"/>
        <v>0</v>
      </c>
      <c r="P29" s="1029">
        <f t="shared" si="10"/>
        <v>0</v>
      </c>
      <c r="Q29" s="983">
        <f t="shared" si="11"/>
        <v>0</v>
      </c>
      <c r="R29" s="983">
        <v>0</v>
      </c>
      <c r="S29" s="983">
        <f t="shared" si="12"/>
        <v>0</v>
      </c>
      <c r="T29" s="983">
        <f t="shared" si="13"/>
        <v>0</v>
      </c>
      <c r="U29" s="984">
        <f t="shared" si="14"/>
        <v>0</v>
      </c>
      <c r="V29" s="984">
        <f t="shared" si="14"/>
        <v>0</v>
      </c>
    </row>
    <row r="30" spans="1:22">
      <c r="A30" s="960">
        <v>24</v>
      </c>
      <c r="B30" s="961" t="s">
        <v>116</v>
      </c>
      <c r="C30" s="1078">
        <f>'2-1-13 SIS'!O30</f>
        <v>0</v>
      </c>
      <c r="D30" s="962">
        <f>'Table 3 Levels 1&amp;2'!AL31</f>
        <v>2764.1216755319151</v>
      </c>
      <c r="E30" s="1011">
        <f t="shared" si="2"/>
        <v>0</v>
      </c>
      <c r="F30" s="1011">
        <f>'Table 4 Level 3'!P29</f>
        <v>854.24999999999989</v>
      </c>
      <c r="G30" s="1011">
        <f t="shared" si="3"/>
        <v>0</v>
      </c>
      <c r="H30" s="982">
        <f t="shared" si="4"/>
        <v>0</v>
      </c>
      <c r="I30" s="1021">
        <f t="shared" si="5"/>
        <v>0</v>
      </c>
      <c r="J30" s="982">
        <f t="shared" si="6"/>
        <v>0</v>
      </c>
      <c r="K30" s="982">
        <v>0</v>
      </c>
      <c r="L30" s="982">
        <f t="shared" si="7"/>
        <v>0</v>
      </c>
      <c r="M30" s="982">
        <f t="shared" si="8"/>
        <v>0</v>
      </c>
      <c r="N30" s="981">
        <f>'Table 5C1A-Madison Prep'!N30</f>
        <v>9761</v>
      </c>
      <c r="O30" s="983">
        <f t="shared" si="9"/>
        <v>0</v>
      </c>
      <c r="P30" s="1029">
        <f t="shared" si="10"/>
        <v>0</v>
      </c>
      <c r="Q30" s="983">
        <f t="shared" si="11"/>
        <v>0</v>
      </c>
      <c r="R30" s="983">
        <v>0</v>
      </c>
      <c r="S30" s="983">
        <f t="shared" si="12"/>
        <v>0</v>
      </c>
      <c r="T30" s="983">
        <f t="shared" si="13"/>
        <v>0</v>
      </c>
      <c r="U30" s="984">
        <f t="shared" si="14"/>
        <v>0</v>
      </c>
      <c r="V30" s="984">
        <f t="shared" si="14"/>
        <v>0</v>
      </c>
    </row>
    <row r="31" spans="1:22">
      <c r="A31" s="963">
        <v>25</v>
      </c>
      <c r="B31" s="964" t="s">
        <v>117</v>
      </c>
      <c r="C31" s="1079">
        <f>'2-1-13 SIS'!O31</f>
        <v>0</v>
      </c>
      <c r="D31" s="965">
        <f>'Table 3 Levels 1&amp;2'!AL32</f>
        <v>3867.4480692053257</v>
      </c>
      <c r="E31" s="1012">
        <f t="shared" si="2"/>
        <v>0</v>
      </c>
      <c r="F31" s="1012">
        <f>'Table 4 Level 3'!P30</f>
        <v>653.73</v>
      </c>
      <c r="G31" s="1012">
        <f t="shared" si="3"/>
        <v>0</v>
      </c>
      <c r="H31" s="985">
        <f t="shared" si="4"/>
        <v>0</v>
      </c>
      <c r="I31" s="1022">
        <f t="shared" si="5"/>
        <v>0</v>
      </c>
      <c r="J31" s="985">
        <f t="shared" si="6"/>
        <v>0</v>
      </c>
      <c r="K31" s="985">
        <v>0</v>
      </c>
      <c r="L31" s="985">
        <f t="shared" si="7"/>
        <v>0</v>
      </c>
      <c r="M31" s="985">
        <f t="shared" si="8"/>
        <v>0</v>
      </c>
      <c r="N31" s="986">
        <f>'Table 5C1A-Madison Prep'!N31</f>
        <v>4842</v>
      </c>
      <c r="O31" s="987">
        <f t="shared" si="9"/>
        <v>0</v>
      </c>
      <c r="P31" s="1030">
        <f t="shared" si="10"/>
        <v>0</v>
      </c>
      <c r="Q31" s="987">
        <f t="shared" si="11"/>
        <v>0</v>
      </c>
      <c r="R31" s="987">
        <v>0</v>
      </c>
      <c r="S31" s="987">
        <f t="shared" si="12"/>
        <v>0</v>
      </c>
      <c r="T31" s="987">
        <f t="shared" si="13"/>
        <v>0</v>
      </c>
      <c r="U31" s="988">
        <f t="shared" si="14"/>
        <v>0</v>
      </c>
      <c r="V31" s="988">
        <f t="shared" si="14"/>
        <v>0</v>
      </c>
    </row>
    <row r="32" spans="1:22">
      <c r="A32" s="953">
        <v>26</v>
      </c>
      <c r="B32" s="954" t="s">
        <v>118</v>
      </c>
      <c r="C32" s="1080">
        <f>'2-1-13 SIS'!O32</f>
        <v>110</v>
      </c>
      <c r="D32" s="956">
        <f>'Table 3 Levels 1&amp;2'!AL33</f>
        <v>3293.481526790355</v>
      </c>
      <c r="E32" s="1010">
        <f t="shared" si="2"/>
        <v>362282.96794693905</v>
      </c>
      <c r="F32" s="1010">
        <f>'Table 4 Level 3'!P31</f>
        <v>836.83</v>
      </c>
      <c r="G32" s="1010">
        <f t="shared" si="3"/>
        <v>92051.3</v>
      </c>
      <c r="H32" s="957">
        <f t="shared" si="4"/>
        <v>454334.26794693904</v>
      </c>
      <c r="I32" s="1020">
        <f t="shared" si="5"/>
        <v>-1135.8356698673476</v>
      </c>
      <c r="J32" s="957">
        <f t="shared" si="6"/>
        <v>453198.4322770717</v>
      </c>
      <c r="K32" s="1118">
        <f>'[1]Adjusted Amounts'!$C$126+'[1]Adjusted Amounts'!$H$126</f>
        <v>3987.1779009796828</v>
      </c>
      <c r="L32" s="957">
        <f t="shared" si="7"/>
        <v>457185.6101780514</v>
      </c>
      <c r="M32" s="957">
        <f t="shared" si="8"/>
        <v>38098.800848170948</v>
      </c>
      <c r="N32" s="981">
        <f>'Table 5C1A-Madison Prep'!N32</f>
        <v>5301</v>
      </c>
      <c r="O32" s="958">
        <f t="shared" si="9"/>
        <v>583110</v>
      </c>
      <c r="P32" s="1028">
        <f t="shared" si="10"/>
        <v>-1457.7750000000001</v>
      </c>
      <c r="Q32" s="958">
        <f t="shared" si="11"/>
        <v>581652.22499999998</v>
      </c>
      <c r="R32" s="1119">
        <f>'[1]Adjusted Amounts'!$K$126+'[1]Adjusted Amounts'!$P$126</f>
        <v>4648</v>
      </c>
      <c r="S32" s="958">
        <f t="shared" si="12"/>
        <v>586300.22499999998</v>
      </c>
      <c r="T32" s="958">
        <f t="shared" si="13"/>
        <v>48858.352083333331</v>
      </c>
      <c r="U32" s="959">
        <f t="shared" si="14"/>
        <v>1043485.8351780514</v>
      </c>
      <c r="V32" s="959">
        <f t="shared" si="14"/>
        <v>86957.152931504272</v>
      </c>
    </row>
    <row r="33" spans="1:22">
      <c r="A33" s="960">
        <v>27</v>
      </c>
      <c r="B33" s="961" t="s">
        <v>119</v>
      </c>
      <c r="C33" s="1081">
        <f>'2-1-13 SIS'!O33</f>
        <v>0</v>
      </c>
      <c r="D33" s="966">
        <f>'Table 3 Levels 1&amp;2'!AL34</f>
        <v>5680.7727517381973</v>
      </c>
      <c r="E33" s="1013">
        <f t="shared" si="2"/>
        <v>0</v>
      </c>
      <c r="F33" s="1013">
        <f>'Table 4 Level 3'!P32</f>
        <v>693.06</v>
      </c>
      <c r="G33" s="1013">
        <f t="shared" si="3"/>
        <v>0</v>
      </c>
      <c r="H33" s="989">
        <f t="shared" si="4"/>
        <v>0</v>
      </c>
      <c r="I33" s="1023">
        <f t="shared" si="5"/>
        <v>0</v>
      </c>
      <c r="J33" s="989">
        <f t="shared" si="6"/>
        <v>0</v>
      </c>
      <c r="K33" s="989">
        <v>0</v>
      </c>
      <c r="L33" s="989">
        <f t="shared" si="7"/>
        <v>0</v>
      </c>
      <c r="M33" s="989">
        <f t="shared" si="8"/>
        <v>0</v>
      </c>
      <c r="N33" s="981">
        <f>'Table 5C1A-Madison Prep'!N33</f>
        <v>3252</v>
      </c>
      <c r="O33" s="983">
        <f t="shared" si="9"/>
        <v>0</v>
      </c>
      <c r="P33" s="1029">
        <f t="shared" si="10"/>
        <v>0</v>
      </c>
      <c r="Q33" s="983">
        <f t="shared" si="11"/>
        <v>0</v>
      </c>
      <c r="R33" s="983">
        <v>0</v>
      </c>
      <c r="S33" s="983">
        <f t="shared" si="12"/>
        <v>0</v>
      </c>
      <c r="T33" s="983">
        <f t="shared" si="13"/>
        <v>0</v>
      </c>
      <c r="U33" s="984">
        <f t="shared" si="14"/>
        <v>0</v>
      </c>
      <c r="V33" s="984">
        <f t="shared" si="14"/>
        <v>0</v>
      </c>
    </row>
    <row r="34" spans="1:22">
      <c r="A34" s="960">
        <v>28</v>
      </c>
      <c r="B34" s="961" t="s">
        <v>120</v>
      </c>
      <c r="C34" s="1081">
        <f>'2-1-13 SIS'!O34</f>
        <v>0</v>
      </c>
      <c r="D34" s="966">
        <f>'Table 3 Levels 1&amp;2'!AL35</f>
        <v>3163.1694438483169</v>
      </c>
      <c r="E34" s="1013">
        <f t="shared" si="2"/>
        <v>0</v>
      </c>
      <c r="F34" s="1013">
        <f>'Table 4 Level 3'!P33</f>
        <v>694.4</v>
      </c>
      <c r="G34" s="1013">
        <f t="shared" si="3"/>
        <v>0</v>
      </c>
      <c r="H34" s="989">
        <f t="shared" si="4"/>
        <v>0</v>
      </c>
      <c r="I34" s="1023">
        <f t="shared" si="5"/>
        <v>0</v>
      </c>
      <c r="J34" s="989">
        <f t="shared" si="6"/>
        <v>0</v>
      </c>
      <c r="K34" s="989">
        <v>0</v>
      </c>
      <c r="L34" s="989">
        <f t="shared" si="7"/>
        <v>0</v>
      </c>
      <c r="M34" s="989">
        <f t="shared" si="8"/>
        <v>0</v>
      </c>
      <c r="N34" s="981">
        <f>'Table 5C1A-Madison Prep'!N34</f>
        <v>5361</v>
      </c>
      <c r="O34" s="983">
        <f t="shared" si="9"/>
        <v>0</v>
      </c>
      <c r="P34" s="1029">
        <f t="shared" si="10"/>
        <v>0</v>
      </c>
      <c r="Q34" s="983">
        <f t="shared" si="11"/>
        <v>0</v>
      </c>
      <c r="R34" s="983">
        <v>0</v>
      </c>
      <c r="S34" s="983">
        <f t="shared" si="12"/>
        <v>0</v>
      </c>
      <c r="T34" s="983">
        <f t="shared" si="13"/>
        <v>0</v>
      </c>
      <c r="U34" s="984">
        <f t="shared" si="14"/>
        <v>0</v>
      </c>
      <c r="V34" s="984">
        <f t="shared" si="14"/>
        <v>0</v>
      </c>
    </row>
    <row r="35" spans="1:22">
      <c r="A35" s="960">
        <v>29</v>
      </c>
      <c r="B35" s="961" t="s">
        <v>121</v>
      </c>
      <c r="C35" s="1081">
        <f>'2-1-13 SIS'!O35</f>
        <v>0</v>
      </c>
      <c r="D35" s="966">
        <f>'Table 3 Levels 1&amp;2'!AL36</f>
        <v>3952.5586133052648</v>
      </c>
      <c r="E35" s="1013">
        <f t="shared" si="2"/>
        <v>0</v>
      </c>
      <c r="F35" s="1013">
        <f>'Table 4 Level 3'!P34</f>
        <v>754.94999999999993</v>
      </c>
      <c r="G35" s="1013">
        <f t="shared" si="3"/>
        <v>0</v>
      </c>
      <c r="H35" s="989">
        <f t="shared" si="4"/>
        <v>0</v>
      </c>
      <c r="I35" s="1023">
        <f t="shared" si="5"/>
        <v>0</v>
      </c>
      <c r="J35" s="989">
        <f t="shared" si="6"/>
        <v>0</v>
      </c>
      <c r="K35" s="989">
        <v>0</v>
      </c>
      <c r="L35" s="989">
        <f t="shared" si="7"/>
        <v>0</v>
      </c>
      <c r="M35" s="989">
        <f t="shared" si="8"/>
        <v>0</v>
      </c>
      <c r="N35" s="981">
        <f>'Table 5C1A-Madison Prep'!N35</f>
        <v>4763</v>
      </c>
      <c r="O35" s="983">
        <f t="shared" si="9"/>
        <v>0</v>
      </c>
      <c r="P35" s="1029">
        <f t="shared" si="10"/>
        <v>0</v>
      </c>
      <c r="Q35" s="983">
        <f t="shared" si="11"/>
        <v>0</v>
      </c>
      <c r="R35" s="983">
        <v>0</v>
      </c>
      <c r="S35" s="983">
        <f t="shared" si="12"/>
        <v>0</v>
      </c>
      <c r="T35" s="983">
        <f t="shared" si="13"/>
        <v>0</v>
      </c>
      <c r="U35" s="984">
        <f t="shared" si="14"/>
        <v>0</v>
      </c>
      <c r="V35" s="984">
        <f t="shared" si="14"/>
        <v>0</v>
      </c>
    </row>
    <row r="36" spans="1:22">
      <c r="A36" s="963">
        <v>30</v>
      </c>
      <c r="B36" s="964" t="s">
        <v>122</v>
      </c>
      <c r="C36" s="1082">
        <f>'2-1-13 SIS'!O36</f>
        <v>0</v>
      </c>
      <c r="D36" s="967">
        <f>'Table 3 Levels 1&amp;2'!AL37</f>
        <v>5648.6510465852989</v>
      </c>
      <c r="E36" s="1014">
        <f t="shared" si="2"/>
        <v>0</v>
      </c>
      <c r="F36" s="1014">
        <f>'Table 4 Level 3'!P35</f>
        <v>727.17</v>
      </c>
      <c r="G36" s="1014">
        <f t="shared" si="3"/>
        <v>0</v>
      </c>
      <c r="H36" s="990">
        <f t="shared" si="4"/>
        <v>0</v>
      </c>
      <c r="I36" s="1024">
        <f t="shared" si="5"/>
        <v>0</v>
      </c>
      <c r="J36" s="990">
        <f t="shared" si="6"/>
        <v>0</v>
      </c>
      <c r="K36" s="990">
        <v>0</v>
      </c>
      <c r="L36" s="990">
        <f t="shared" si="7"/>
        <v>0</v>
      </c>
      <c r="M36" s="990">
        <f t="shared" si="8"/>
        <v>0</v>
      </c>
      <c r="N36" s="986">
        <f>'Table 5C1A-Madison Prep'!N36</f>
        <v>3236</v>
      </c>
      <c r="O36" s="987">
        <f t="shared" si="9"/>
        <v>0</v>
      </c>
      <c r="P36" s="1030">
        <f t="shared" si="10"/>
        <v>0</v>
      </c>
      <c r="Q36" s="987">
        <f t="shared" si="11"/>
        <v>0</v>
      </c>
      <c r="R36" s="987">
        <v>0</v>
      </c>
      <c r="S36" s="987">
        <f t="shared" si="12"/>
        <v>0</v>
      </c>
      <c r="T36" s="987">
        <f t="shared" si="13"/>
        <v>0</v>
      </c>
      <c r="U36" s="988">
        <f t="shared" si="14"/>
        <v>0</v>
      </c>
      <c r="V36" s="988">
        <f t="shared" si="14"/>
        <v>0</v>
      </c>
    </row>
    <row r="37" spans="1:22">
      <c r="A37" s="953">
        <v>31</v>
      </c>
      <c r="B37" s="954" t="s">
        <v>123</v>
      </c>
      <c r="C37" s="1083">
        <f>'2-1-13 SIS'!O37</f>
        <v>0</v>
      </c>
      <c r="D37" s="968">
        <f>'Table 3 Levels 1&amp;2'!AL38</f>
        <v>4348.9307899232972</v>
      </c>
      <c r="E37" s="1015">
        <f t="shared" si="2"/>
        <v>0</v>
      </c>
      <c r="F37" s="1015">
        <f>'Table 4 Level 3'!P36</f>
        <v>620.83000000000004</v>
      </c>
      <c r="G37" s="1015">
        <f t="shared" si="3"/>
        <v>0</v>
      </c>
      <c r="H37" s="991">
        <f t="shared" si="4"/>
        <v>0</v>
      </c>
      <c r="I37" s="1025">
        <f t="shared" si="5"/>
        <v>0</v>
      </c>
      <c r="J37" s="991">
        <f t="shared" si="6"/>
        <v>0</v>
      </c>
      <c r="K37" s="991">
        <v>0</v>
      </c>
      <c r="L37" s="991">
        <f t="shared" si="7"/>
        <v>0</v>
      </c>
      <c r="M37" s="991">
        <f t="shared" si="8"/>
        <v>0</v>
      </c>
      <c r="N37" s="981">
        <f>'Table 5C1A-Madison Prep'!N37</f>
        <v>4795</v>
      </c>
      <c r="O37" s="958">
        <f t="shared" si="9"/>
        <v>0</v>
      </c>
      <c r="P37" s="1028">
        <f t="shared" si="10"/>
        <v>0</v>
      </c>
      <c r="Q37" s="958">
        <f t="shared" si="11"/>
        <v>0</v>
      </c>
      <c r="R37" s="958">
        <v>0</v>
      </c>
      <c r="S37" s="958">
        <f t="shared" si="12"/>
        <v>0</v>
      </c>
      <c r="T37" s="958">
        <f t="shared" si="13"/>
        <v>0</v>
      </c>
      <c r="U37" s="959">
        <f t="shared" si="14"/>
        <v>0</v>
      </c>
      <c r="V37" s="959">
        <f t="shared" si="14"/>
        <v>0</v>
      </c>
    </row>
    <row r="38" spans="1:22">
      <c r="A38" s="960">
        <v>32</v>
      </c>
      <c r="B38" s="961" t="s">
        <v>124</v>
      </c>
      <c r="C38" s="1081">
        <f>'2-1-13 SIS'!O38</f>
        <v>0</v>
      </c>
      <c r="D38" s="966">
        <f>'Table 3 Levels 1&amp;2'!AL39</f>
        <v>5531.5157655456787</v>
      </c>
      <c r="E38" s="1013">
        <f t="shared" si="2"/>
        <v>0</v>
      </c>
      <c r="F38" s="1013">
        <f>'Table 4 Level 3'!P37</f>
        <v>559.77</v>
      </c>
      <c r="G38" s="1013">
        <f t="shared" si="3"/>
        <v>0</v>
      </c>
      <c r="H38" s="989">
        <f t="shared" si="4"/>
        <v>0</v>
      </c>
      <c r="I38" s="1023">
        <f t="shared" si="5"/>
        <v>0</v>
      </c>
      <c r="J38" s="989">
        <f t="shared" si="6"/>
        <v>0</v>
      </c>
      <c r="K38" s="989">
        <v>0</v>
      </c>
      <c r="L38" s="989">
        <f t="shared" si="7"/>
        <v>0</v>
      </c>
      <c r="M38" s="989">
        <f t="shared" si="8"/>
        <v>0</v>
      </c>
      <c r="N38" s="981">
        <f>'Table 5C1A-Madison Prep'!N38</f>
        <v>2109</v>
      </c>
      <c r="O38" s="983">
        <f t="shared" si="9"/>
        <v>0</v>
      </c>
      <c r="P38" s="1029">
        <f t="shared" si="10"/>
        <v>0</v>
      </c>
      <c r="Q38" s="983">
        <f t="shared" si="11"/>
        <v>0</v>
      </c>
      <c r="R38" s="983">
        <v>0</v>
      </c>
      <c r="S38" s="983">
        <f t="shared" si="12"/>
        <v>0</v>
      </c>
      <c r="T38" s="983">
        <f t="shared" si="13"/>
        <v>0</v>
      </c>
      <c r="U38" s="984">
        <f t="shared" si="14"/>
        <v>0</v>
      </c>
      <c r="V38" s="984">
        <f t="shared" si="14"/>
        <v>0</v>
      </c>
    </row>
    <row r="39" spans="1:22">
      <c r="A39" s="960">
        <v>33</v>
      </c>
      <c r="B39" s="961" t="s">
        <v>125</v>
      </c>
      <c r="C39" s="1081">
        <f>'2-1-13 SIS'!O39</f>
        <v>0</v>
      </c>
      <c r="D39" s="966">
        <f>'Table 3 Levels 1&amp;2'!AL40</f>
        <v>5329.5444226517857</v>
      </c>
      <c r="E39" s="1013">
        <f t="shared" si="2"/>
        <v>0</v>
      </c>
      <c r="F39" s="1013">
        <f>'Table 4 Level 3'!P38</f>
        <v>655.31000000000006</v>
      </c>
      <c r="G39" s="1013">
        <f t="shared" si="3"/>
        <v>0</v>
      </c>
      <c r="H39" s="989">
        <f t="shared" si="4"/>
        <v>0</v>
      </c>
      <c r="I39" s="1023">
        <f t="shared" si="5"/>
        <v>0</v>
      </c>
      <c r="J39" s="989">
        <f t="shared" si="6"/>
        <v>0</v>
      </c>
      <c r="K39" s="989">
        <v>0</v>
      </c>
      <c r="L39" s="989">
        <f t="shared" si="7"/>
        <v>0</v>
      </c>
      <c r="M39" s="989">
        <f t="shared" si="8"/>
        <v>0</v>
      </c>
      <c r="N39" s="981">
        <f>'Table 5C1A-Madison Prep'!N39</f>
        <v>2649</v>
      </c>
      <c r="O39" s="983">
        <f t="shared" si="9"/>
        <v>0</v>
      </c>
      <c r="P39" s="1029">
        <f t="shared" si="10"/>
        <v>0</v>
      </c>
      <c r="Q39" s="983">
        <f t="shared" si="11"/>
        <v>0</v>
      </c>
      <c r="R39" s="983">
        <v>0</v>
      </c>
      <c r="S39" s="983">
        <f t="shared" si="12"/>
        <v>0</v>
      </c>
      <c r="T39" s="983">
        <f t="shared" si="13"/>
        <v>0</v>
      </c>
      <c r="U39" s="984">
        <f t="shared" si="14"/>
        <v>0</v>
      </c>
      <c r="V39" s="984">
        <f t="shared" si="14"/>
        <v>0</v>
      </c>
    </row>
    <row r="40" spans="1:22">
      <c r="A40" s="960">
        <v>34</v>
      </c>
      <c r="B40" s="961" t="s">
        <v>126</v>
      </c>
      <c r="C40" s="1081">
        <f>'2-1-13 SIS'!O40</f>
        <v>0</v>
      </c>
      <c r="D40" s="966">
        <f>'Table 3 Levels 1&amp;2'!AL41</f>
        <v>6003.632932007491</v>
      </c>
      <c r="E40" s="1013">
        <f t="shared" si="2"/>
        <v>0</v>
      </c>
      <c r="F40" s="1013">
        <f>'Table 4 Level 3'!P39</f>
        <v>644.11000000000013</v>
      </c>
      <c r="G40" s="1013">
        <f t="shared" si="3"/>
        <v>0</v>
      </c>
      <c r="H40" s="989">
        <f t="shared" si="4"/>
        <v>0</v>
      </c>
      <c r="I40" s="1023">
        <f t="shared" si="5"/>
        <v>0</v>
      </c>
      <c r="J40" s="989">
        <f t="shared" si="6"/>
        <v>0</v>
      </c>
      <c r="K40" s="989">
        <v>0</v>
      </c>
      <c r="L40" s="989">
        <f t="shared" si="7"/>
        <v>0</v>
      </c>
      <c r="M40" s="989">
        <f t="shared" si="8"/>
        <v>0</v>
      </c>
      <c r="N40" s="981">
        <f>'Table 5C1A-Madison Prep'!N40</f>
        <v>2817</v>
      </c>
      <c r="O40" s="983">
        <f t="shared" si="9"/>
        <v>0</v>
      </c>
      <c r="P40" s="1029">
        <f t="shared" si="10"/>
        <v>0</v>
      </c>
      <c r="Q40" s="983">
        <f t="shared" si="11"/>
        <v>0</v>
      </c>
      <c r="R40" s="983">
        <v>0</v>
      </c>
      <c r="S40" s="983">
        <f t="shared" si="12"/>
        <v>0</v>
      </c>
      <c r="T40" s="983">
        <f t="shared" si="13"/>
        <v>0</v>
      </c>
      <c r="U40" s="984">
        <f t="shared" si="14"/>
        <v>0</v>
      </c>
      <c r="V40" s="984">
        <f t="shared" si="14"/>
        <v>0</v>
      </c>
    </row>
    <row r="41" spans="1:22">
      <c r="A41" s="963">
        <v>35</v>
      </c>
      <c r="B41" s="964" t="s">
        <v>127</v>
      </c>
      <c r="C41" s="1082">
        <f>'2-1-13 SIS'!O41</f>
        <v>0</v>
      </c>
      <c r="D41" s="967">
        <f>'Table 3 Levels 1&amp;2'!AL42</f>
        <v>4607.1606416222867</v>
      </c>
      <c r="E41" s="1014">
        <f t="shared" si="2"/>
        <v>0</v>
      </c>
      <c r="F41" s="1014">
        <f>'Table 4 Level 3'!P40</f>
        <v>537.96</v>
      </c>
      <c r="G41" s="1014">
        <f t="shared" si="3"/>
        <v>0</v>
      </c>
      <c r="H41" s="990">
        <f t="shared" si="4"/>
        <v>0</v>
      </c>
      <c r="I41" s="1024">
        <f t="shared" si="5"/>
        <v>0</v>
      </c>
      <c r="J41" s="990">
        <f t="shared" si="6"/>
        <v>0</v>
      </c>
      <c r="K41" s="990">
        <v>0</v>
      </c>
      <c r="L41" s="990">
        <f t="shared" si="7"/>
        <v>0</v>
      </c>
      <c r="M41" s="990">
        <f t="shared" si="8"/>
        <v>0</v>
      </c>
      <c r="N41" s="986">
        <f>'Table 5C1A-Madison Prep'!N41</f>
        <v>3298</v>
      </c>
      <c r="O41" s="987">
        <f t="shared" si="9"/>
        <v>0</v>
      </c>
      <c r="P41" s="1030">
        <f t="shared" si="10"/>
        <v>0</v>
      </c>
      <c r="Q41" s="987">
        <f t="shared" si="11"/>
        <v>0</v>
      </c>
      <c r="R41" s="987">
        <v>0</v>
      </c>
      <c r="S41" s="987">
        <f t="shared" si="12"/>
        <v>0</v>
      </c>
      <c r="T41" s="987">
        <f t="shared" si="13"/>
        <v>0</v>
      </c>
      <c r="U41" s="988">
        <f t="shared" si="14"/>
        <v>0</v>
      </c>
      <c r="V41" s="988">
        <f t="shared" si="14"/>
        <v>0</v>
      </c>
    </row>
    <row r="42" spans="1:22">
      <c r="A42" s="953">
        <v>36</v>
      </c>
      <c r="B42" s="954" t="s">
        <v>128</v>
      </c>
      <c r="C42" s="1083">
        <f>'2-1-13 SIS'!O42</f>
        <v>104</v>
      </c>
      <c r="D42" s="968">
        <f>'Table 3 Levels 1&amp;2'!AL43</f>
        <v>3520.4894337711748</v>
      </c>
      <c r="E42" s="1015">
        <f t="shared" si="2"/>
        <v>366130.90111220221</v>
      </c>
      <c r="F42" s="1015">
        <f>'Table 5B1_RSD_Orleans'!F78</f>
        <v>746.0335616438357</v>
      </c>
      <c r="G42" s="1015">
        <f t="shared" si="3"/>
        <v>77587.490410958912</v>
      </c>
      <c r="H42" s="991">
        <f t="shared" si="4"/>
        <v>443718.39152316109</v>
      </c>
      <c r="I42" s="1025">
        <f t="shared" si="5"/>
        <v>-1109.2959788079027</v>
      </c>
      <c r="J42" s="991">
        <f t="shared" si="6"/>
        <v>442609.09554435319</v>
      </c>
      <c r="K42" s="991">
        <v>0</v>
      </c>
      <c r="L42" s="991">
        <f t="shared" si="7"/>
        <v>442609.09554435319</v>
      </c>
      <c r="M42" s="991">
        <f t="shared" si="8"/>
        <v>36884.091295362763</v>
      </c>
      <c r="N42" s="981">
        <f>'Table 5C1A-Madison Prep'!N42</f>
        <v>5442</v>
      </c>
      <c r="O42" s="958">
        <f t="shared" si="9"/>
        <v>565968</v>
      </c>
      <c r="P42" s="1028">
        <f t="shared" si="10"/>
        <v>-1414.92</v>
      </c>
      <c r="Q42" s="958">
        <f t="shared" si="11"/>
        <v>564553.07999999996</v>
      </c>
      <c r="R42" s="958">
        <v>0</v>
      </c>
      <c r="S42" s="958">
        <f t="shared" si="12"/>
        <v>564553.07999999996</v>
      </c>
      <c r="T42" s="958">
        <f t="shared" si="13"/>
        <v>47046.09</v>
      </c>
      <c r="U42" s="959">
        <f t="shared" si="14"/>
        <v>1007162.1755443532</v>
      </c>
      <c r="V42" s="959">
        <f t="shared" si="14"/>
        <v>83930.181295362767</v>
      </c>
    </row>
    <row r="43" spans="1:22">
      <c r="A43" s="960">
        <v>37</v>
      </c>
      <c r="B43" s="961" t="s">
        <v>129</v>
      </c>
      <c r="C43" s="1081">
        <f>'2-1-13 SIS'!O43</f>
        <v>0</v>
      </c>
      <c r="D43" s="966">
        <f>'Table 3 Levels 1&amp;2'!AL44</f>
        <v>5503.7595641818853</v>
      </c>
      <c r="E43" s="1013">
        <f t="shared" si="2"/>
        <v>0</v>
      </c>
      <c r="F43" s="1013">
        <f>'Table 4 Level 3'!P42</f>
        <v>653.61</v>
      </c>
      <c r="G43" s="1013">
        <f t="shared" si="3"/>
        <v>0</v>
      </c>
      <c r="H43" s="989">
        <f t="shared" si="4"/>
        <v>0</v>
      </c>
      <c r="I43" s="1023">
        <f t="shared" si="5"/>
        <v>0</v>
      </c>
      <c r="J43" s="989">
        <f t="shared" si="6"/>
        <v>0</v>
      </c>
      <c r="K43" s="989">
        <v>0</v>
      </c>
      <c r="L43" s="989">
        <f t="shared" si="7"/>
        <v>0</v>
      </c>
      <c r="M43" s="989">
        <f t="shared" si="8"/>
        <v>0</v>
      </c>
      <c r="N43" s="981">
        <f>'Table 5C1A-Madison Prep'!N43</f>
        <v>3227</v>
      </c>
      <c r="O43" s="983">
        <f t="shared" si="9"/>
        <v>0</v>
      </c>
      <c r="P43" s="1029">
        <f t="shared" si="10"/>
        <v>0</v>
      </c>
      <c r="Q43" s="983">
        <f t="shared" si="11"/>
        <v>0</v>
      </c>
      <c r="R43" s="983">
        <v>0</v>
      </c>
      <c r="S43" s="983">
        <f t="shared" si="12"/>
        <v>0</v>
      </c>
      <c r="T43" s="983">
        <f t="shared" si="13"/>
        <v>0</v>
      </c>
      <c r="U43" s="984">
        <f t="shared" si="14"/>
        <v>0</v>
      </c>
      <c r="V43" s="984">
        <f t="shared" si="14"/>
        <v>0</v>
      </c>
    </row>
    <row r="44" spans="1:22">
      <c r="A44" s="960">
        <v>38</v>
      </c>
      <c r="B44" s="961" t="s">
        <v>130</v>
      </c>
      <c r="C44" s="1081">
        <f>'2-1-13 SIS'!O44</f>
        <v>8</v>
      </c>
      <c r="D44" s="966">
        <f>'Table 3 Levels 1&amp;2'!AL45</f>
        <v>2192.7545275590551</v>
      </c>
      <c r="E44" s="1013">
        <f t="shared" si="2"/>
        <v>17542.036220472441</v>
      </c>
      <c r="F44" s="1013">
        <f>'Table 4 Level 3'!P43</f>
        <v>829.92000000000007</v>
      </c>
      <c r="G44" s="1013">
        <f t="shared" si="3"/>
        <v>6639.3600000000006</v>
      </c>
      <c r="H44" s="989">
        <f t="shared" si="4"/>
        <v>24181.396220472441</v>
      </c>
      <c r="I44" s="1023">
        <f t="shared" si="5"/>
        <v>-60.453490551181105</v>
      </c>
      <c r="J44" s="989">
        <f t="shared" si="6"/>
        <v>24120.942729921258</v>
      </c>
      <c r="K44" s="989">
        <v>0</v>
      </c>
      <c r="L44" s="989">
        <f t="shared" si="7"/>
        <v>24120.942729921258</v>
      </c>
      <c r="M44" s="989">
        <f t="shared" si="8"/>
        <v>2010.0785608267715</v>
      </c>
      <c r="N44" s="981">
        <f>'Table 5C1A-Madison Prep'!N44</f>
        <v>10867</v>
      </c>
      <c r="O44" s="983">
        <f t="shared" si="9"/>
        <v>86936</v>
      </c>
      <c r="P44" s="1029">
        <f t="shared" si="10"/>
        <v>-217.34</v>
      </c>
      <c r="Q44" s="983">
        <f t="shared" si="11"/>
        <v>86718.66</v>
      </c>
      <c r="R44" s="983">
        <v>0</v>
      </c>
      <c r="S44" s="983">
        <f t="shared" si="12"/>
        <v>86718.66</v>
      </c>
      <c r="T44" s="983">
        <f t="shared" si="13"/>
        <v>7226.5550000000003</v>
      </c>
      <c r="U44" s="984">
        <f t="shared" si="14"/>
        <v>110839.60272992126</v>
      </c>
      <c r="V44" s="984">
        <f t="shared" si="14"/>
        <v>9236.6335608267727</v>
      </c>
    </row>
    <row r="45" spans="1:22">
      <c r="A45" s="960">
        <v>39</v>
      </c>
      <c r="B45" s="961" t="s">
        <v>131</v>
      </c>
      <c r="C45" s="1081">
        <f>'2-1-13 SIS'!O45</f>
        <v>0</v>
      </c>
      <c r="D45" s="966">
        <f>'Table 3 Levels 1&amp;2'!AL46</f>
        <v>3639.9942778062696</v>
      </c>
      <c r="E45" s="1013">
        <f t="shared" si="2"/>
        <v>0</v>
      </c>
      <c r="F45" s="1013">
        <f>'Table 5B2_RSD_LA'!F21</f>
        <v>779.65573042776441</v>
      </c>
      <c r="G45" s="1013">
        <f t="shared" si="3"/>
        <v>0</v>
      </c>
      <c r="H45" s="989">
        <f t="shared" si="4"/>
        <v>0</v>
      </c>
      <c r="I45" s="1023">
        <f t="shared" si="5"/>
        <v>0</v>
      </c>
      <c r="J45" s="989">
        <f t="shared" si="6"/>
        <v>0</v>
      </c>
      <c r="K45" s="989">
        <v>0</v>
      </c>
      <c r="L45" s="989">
        <f t="shared" si="7"/>
        <v>0</v>
      </c>
      <c r="M45" s="989">
        <f t="shared" si="8"/>
        <v>0</v>
      </c>
      <c r="N45" s="981">
        <f>'Table 5C1A-Madison Prep'!N45</f>
        <v>4324</v>
      </c>
      <c r="O45" s="983">
        <f t="shared" si="9"/>
        <v>0</v>
      </c>
      <c r="P45" s="1029">
        <f t="shared" si="10"/>
        <v>0</v>
      </c>
      <c r="Q45" s="983">
        <f t="shared" si="11"/>
        <v>0</v>
      </c>
      <c r="R45" s="983">
        <v>0</v>
      </c>
      <c r="S45" s="983">
        <f t="shared" si="12"/>
        <v>0</v>
      </c>
      <c r="T45" s="983">
        <f t="shared" si="13"/>
        <v>0</v>
      </c>
      <c r="U45" s="984">
        <f t="shared" si="14"/>
        <v>0</v>
      </c>
      <c r="V45" s="984">
        <f t="shared" si="14"/>
        <v>0</v>
      </c>
    </row>
    <row r="46" spans="1:22">
      <c r="A46" s="963">
        <v>40</v>
      </c>
      <c r="B46" s="964" t="s">
        <v>132</v>
      </c>
      <c r="C46" s="1082">
        <f>'2-1-13 SIS'!O46</f>
        <v>0</v>
      </c>
      <c r="D46" s="967">
        <f>'Table 3 Levels 1&amp;2'!AL47</f>
        <v>4928.4974462701202</v>
      </c>
      <c r="E46" s="1014">
        <f t="shared" si="2"/>
        <v>0</v>
      </c>
      <c r="F46" s="1014">
        <f>'Table 4 Level 3'!P45</f>
        <v>700.2700000000001</v>
      </c>
      <c r="G46" s="1014">
        <f t="shared" si="3"/>
        <v>0</v>
      </c>
      <c r="H46" s="990">
        <f t="shared" si="4"/>
        <v>0</v>
      </c>
      <c r="I46" s="1024">
        <f t="shared" si="5"/>
        <v>0</v>
      </c>
      <c r="J46" s="990">
        <f t="shared" si="6"/>
        <v>0</v>
      </c>
      <c r="K46" s="990">
        <v>0</v>
      </c>
      <c r="L46" s="990">
        <f t="shared" si="7"/>
        <v>0</v>
      </c>
      <c r="M46" s="990">
        <f t="shared" si="8"/>
        <v>0</v>
      </c>
      <c r="N46" s="986">
        <f>'Table 5C1A-Madison Prep'!N46</f>
        <v>3007</v>
      </c>
      <c r="O46" s="987">
        <f t="shared" si="9"/>
        <v>0</v>
      </c>
      <c r="P46" s="1030">
        <f t="shared" si="10"/>
        <v>0</v>
      </c>
      <c r="Q46" s="987">
        <f t="shared" si="11"/>
        <v>0</v>
      </c>
      <c r="R46" s="987">
        <v>0</v>
      </c>
      <c r="S46" s="987">
        <f t="shared" si="12"/>
        <v>0</v>
      </c>
      <c r="T46" s="987">
        <f t="shared" si="13"/>
        <v>0</v>
      </c>
      <c r="U46" s="988">
        <f t="shared" si="14"/>
        <v>0</v>
      </c>
      <c r="V46" s="988">
        <f t="shared" si="14"/>
        <v>0</v>
      </c>
    </row>
    <row r="47" spans="1:22">
      <c r="A47" s="953">
        <v>41</v>
      </c>
      <c r="B47" s="954" t="s">
        <v>133</v>
      </c>
      <c r="C47" s="1083">
        <f>'2-1-13 SIS'!O47</f>
        <v>0</v>
      </c>
      <c r="D47" s="968">
        <f>'Table 3 Levels 1&amp;2'!AL48</f>
        <v>1615.6013465627216</v>
      </c>
      <c r="E47" s="1015">
        <f t="shared" si="2"/>
        <v>0</v>
      </c>
      <c r="F47" s="1015">
        <f>'Table 4 Level 3'!P46</f>
        <v>886.22</v>
      </c>
      <c r="G47" s="1015">
        <f t="shared" si="3"/>
        <v>0</v>
      </c>
      <c r="H47" s="991">
        <f t="shared" si="4"/>
        <v>0</v>
      </c>
      <c r="I47" s="1025">
        <f t="shared" si="5"/>
        <v>0</v>
      </c>
      <c r="J47" s="991">
        <f t="shared" si="6"/>
        <v>0</v>
      </c>
      <c r="K47" s="991">
        <v>0</v>
      </c>
      <c r="L47" s="991">
        <f t="shared" si="7"/>
        <v>0</v>
      </c>
      <c r="M47" s="991">
        <f t="shared" si="8"/>
        <v>0</v>
      </c>
      <c r="N47" s="981">
        <f>'Table 5C1A-Madison Prep'!N47</f>
        <v>9087</v>
      </c>
      <c r="O47" s="958">
        <f t="shared" si="9"/>
        <v>0</v>
      </c>
      <c r="P47" s="1028">
        <f t="shared" si="10"/>
        <v>0</v>
      </c>
      <c r="Q47" s="958">
        <f t="shared" si="11"/>
        <v>0</v>
      </c>
      <c r="R47" s="958">
        <v>0</v>
      </c>
      <c r="S47" s="958">
        <f t="shared" si="12"/>
        <v>0</v>
      </c>
      <c r="T47" s="958">
        <f t="shared" si="13"/>
        <v>0</v>
      </c>
      <c r="U47" s="959">
        <f t="shared" si="14"/>
        <v>0</v>
      </c>
      <c r="V47" s="959">
        <f t="shared" si="14"/>
        <v>0</v>
      </c>
    </row>
    <row r="48" spans="1:22">
      <c r="A48" s="960">
        <v>42</v>
      </c>
      <c r="B48" s="961" t="s">
        <v>134</v>
      </c>
      <c r="C48" s="1081">
        <f>'2-1-13 SIS'!O48</f>
        <v>0</v>
      </c>
      <c r="D48" s="966">
        <f>'Table 3 Levels 1&amp;2'!AL49</f>
        <v>5087.4730460987803</v>
      </c>
      <c r="E48" s="1013">
        <f t="shared" si="2"/>
        <v>0</v>
      </c>
      <c r="F48" s="1013">
        <f>'Table 4 Level 3'!P47</f>
        <v>534.28</v>
      </c>
      <c r="G48" s="1013">
        <f t="shared" si="3"/>
        <v>0</v>
      </c>
      <c r="H48" s="989">
        <f t="shared" si="4"/>
        <v>0</v>
      </c>
      <c r="I48" s="1023">
        <f t="shared" si="5"/>
        <v>0</v>
      </c>
      <c r="J48" s="989">
        <f t="shared" si="6"/>
        <v>0</v>
      </c>
      <c r="K48" s="989">
        <v>0</v>
      </c>
      <c r="L48" s="989">
        <f t="shared" si="7"/>
        <v>0</v>
      </c>
      <c r="M48" s="989">
        <f t="shared" si="8"/>
        <v>0</v>
      </c>
      <c r="N48" s="981">
        <f>'Table 5C1A-Madison Prep'!N48</f>
        <v>2867</v>
      </c>
      <c r="O48" s="983">
        <f t="shared" si="9"/>
        <v>0</v>
      </c>
      <c r="P48" s="1029">
        <f t="shared" si="10"/>
        <v>0</v>
      </c>
      <c r="Q48" s="983">
        <f t="shared" si="11"/>
        <v>0</v>
      </c>
      <c r="R48" s="983">
        <v>0</v>
      </c>
      <c r="S48" s="983">
        <f t="shared" si="12"/>
        <v>0</v>
      </c>
      <c r="T48" s="983">
        <f t="shared" si="13"/>
        <v>0</v>
      </c>
      <c r="U48" s="984">
        <f t="shared" si="14"/>
        <v>0</v>
      </c>
      <c r="V48" s="984">
        <f t="shared" si="14"/>
        <v>0</v>
      </c>
    </row>
    <row r="49" spans="1:22">
      <c r="A49" s="960">
        <v>43</v>
      </c>
      <c r="B49" s="961" t="s">
        <v>135</v>
      </c>
      <c r="C49" s="1081">
        <f>'2-1-13 SIS'!O49</f>
        <v>0</v>
      </c>
      <c r="D49" s="966">
        <f>'Table 3 Levels 1&amp;2'!AL50</f>
        <v>4717.8414352725031</v>
      </c>
      <c r="E49" s="1013">
        <f t="shared" si="2"/>
        <v>0</v>
      </c>
      <c r="F49" s="1013">
        <f>'Table 4 Level 3'!P48</f>
        <v>574.6099999999999</v>
      </c>
      <c r="G49" s="1013">
        <f t="shared" si="3"/>
        <v>0</v>
      </c>
      <c r="H49" s="989">
        <f t="shared" si="4"/>
        <v>0</v>
      </c>
      <c r="I49" s="1023">
        <f t="shared" si="5"/>
        <v>0</v>
      </c>
      <c r="J49" s="989">
        <f t="shared" si="6"/>
        <v>0</v>
      </c>
      <c r="K49" s="989">
        <v>0</v>
      </c>
      <c r="L49" s="989">
        <f t="shared" si="7"/>
        <v>0</v>
      </c>
      <c r="M49" s="989">
        <f t="shared" si="8"/>
        <v>0</v>
      </c>
      <c r="N49" s="981">
        <f>'Table 5C1A-Madison Prep'!N49</f>
        <v>3587</v>
      </c>
      <c r="O49" s="983">
        <f t="shared" si="9"/>
        <v>0</v>
      </c>
      <c r="P49" s="1029">
        <f t="shared" si="10"/>
        <v>0</v>
      </c>
      <c r="Q49" s="983">
        <f t="shared" si="11"/>
        <v>0</v>
      </c>
      <c r="R49" s="983">
        <v>0</v>
      </c>
      <c r="S49" s="983">
        <f t="shared" si="12"/>
        <v>0</v>
      </c>
      <c r="T49" s="983">
        <f t="shared" si="13"/>
        <v>0</v>
      </c>
      <c r="U49" s="984">
        <f t="shared" si="14"/>
        <v>0</v>
      </c>
      <c r="V49" s="984">
        <f t="shared" si="14"/>
        <v>0</v>
      </c>
    </row>
    <row r="50" spans="1:22">
      <c r="A50" s="960">
        <v>44</v>
      </c>
      <c r="B50" s="961" t="s">
        <v>136</v>
      </c>
      <c r="C50" s="1081">
        <f>'2-1-13 SIS'!O50</f>
        <v>2</v>
      </c>
      <c r="D50" s="966">
        <f>'Table 3 Levels 1&amp;2'!AL51</f>
        <v>4696.6221228259064</v>
      </c>
      <c r="E50" s="1013">
        <f t="shared" si="2"/>
        <v>9393.2442456518129</v>
      </c>
      <c r="F50" s="1013">
        <f>'Table 4 Level 3'!P49</f>
        <v>663.16000000000008</v>
      </c>
      <c r="G50" s="1013">
        <f t="shared" si="3"/>
        <v>1326.3200000000002</v>
      </c>
      <c r="H50" s="989">
        <f t="shared" si="4"/>
        <v>10719.564245651813</v>
      </c>
      <c r="I50" s="1023">
        <f t="shared" si="5"/>
        <v>-26.798910614129532</v>
      </c>
      <c r="J50" s="989">
        <f t="shared" si="6"/>
        <v>10692.765335037682</v>
      </c>
      <c r="K50" s="989">
        <v>0</v>
      </c>
      <c r="L50" s="989">
        <f t="shared" si="7"/>
        <v>10692.765335037682</v>
      </c>
      <c r="M50" s="989">
        <f t="shared" si="8"/>
        <v>891.06377791980685</v>
      </c>
      <c r="N50" s="981">
        <f>'Table 5C1A-Madison Prep'!N50</f>
        <v>4561</v>
      </c>
      <c r="O50" s="983">
        <f t="shared" si="9"/>
        <v>9122</v>
      </c>
      <c r="P50" s="1029">
        <f t="shared" si="10"/>
        <v>-22.805</v>
      </c>
      <c r="Q50" s="983">
        <f t="shared" si="11"/>
        <v>9099.1949999999997</v>
      </c>
      <c r="R50" s="983">
        <v>0</v>
      </c>
      <c r="S50" s="983">
        <f t="shared" si="12"/>
        <v>9099.1949999999997</v>
      </c>
      <c r="T50" s="983">
        <f t="shared" si="13"/>
        <v>758.26625000000001</v>
      </c>
      <c r="U50" s="984">
        <f t="shared" si="14"/>
        <v>19791.960335037682</v>
      </c>
      <c r="V50" s="984">
        <f t="shared" si="14"/>
        <v>1649.330027919807</v>
      </c>
    </row>
    <row r="51" spans="1:22">
      <c r="A51" s="963">
        <v>45</v>
      </c>
      <c r="B51" s="964" t="s">
        <v>137</v>
      </c>
      <c r="C51" s="1082">
        <f>'2-1-13 SIS'!O51</f>
        <v>0</v>
      </c>
      <c r="D51" s="967">
        <f>'Table 3 Levels 1&amp;2'!AL52</f>
        <v>2192.4914538932262</v>
      </c>
      <c r="E51" s="1014">
        <f t="shared" si="2"/>
        <v>0</v>
      </c>
      <c r="F51" s="1014">
        <f>'Table 4 Level 3'!P50</f>
        <v>753.96000000000015</v>
      </c>
      <c r="G51" s="1014">
        <f t="shared" si="3"/>
        <v>0</v>
      </c>
      <c r="H51" s="990">
        <f t="shared" si="4"/>
        <v>0</v>
      </c>
      <c r="I51" s="1024">
        <f t="shared" si="5"/>
        <v>0</v>
      </c>
      <c r="J51" s="990">
        <f t="shared" si="6"/>
        <v>0</v>
      </c>
      <c r="K51" s="990">
        <v>0</v>
      </c>
      <c r="L51" s="990">
        <f t="shared" si="7"/>
        <v>0</v>
      </c>
      <c r="M51" s="990">
        <f t="shared" si="8"/>
        <v>0</v>
      </c>
      <c r="N51" s="986">
        <f>'Table 5C1A-Madison Prep'!N51</f>
        <v>11287</v>
      </c>
      <c r="O51" s="987">
        <f t="shared" si="9"/>
        <v>0</v>
      </c>
      <c r="P51" s="1030">
        <f t="shared" si="10"/>
        <v>0</v>
      </c>
      <c r="Q51" s="987">
        <f t="shared" si="11"/>
        <v>0</v>
      </c>
      <c r="R51" s="987">
        <v>0</v>
      </c>
      <c r="S51" s="987">
        <f t="shared" si="12"/>
        <v>0</v>
      </c>
      <c r="T51" s="987">
        <f t="shared" si="13"/>
        <v>0</v>
      </c>
      <c r="U51" s="988">
        <f t="shared" si="14"/>
        <v>0</v>
      </c>
      <c r="V51" s="988">
        <f t="shared" si="14"/>
        <v>0</v>
      </c>
    </row>
    <row r="52" spans="1:22">
      <c r="A52" s="953">
        <v>46</v>
      </c>
      <c r="B52" s="954" t="s">
        <v>138</v>
      </c>
      <c r="C52" s="1083">
        <f>'2-1-13 SIS'!O52</f>
        <v>0</v>
      </c>
      <c r="D52" s="968">
        <f>'Table 3 Levels 1&amp;2'!AL53</f>
        <v>5644.6599115241634</v>
      </c>
      <c r="E52" s="1015">
        <f t="shared" si="2"/>
        <v>0</v>
      </c>
      <c r="F52" s="1015">
        <f>'Table 4 Level 3'!P51</f>
        <v>728.06</v>
      </c>
      <c r="G52" s="1015">
        <f t="shared" si="3"/>
        <v>0</v>
      </c>
      <c r="H52" s="991">
        <f t="shared" si="4"/>
        <v>0</v>
      </c>
      <c r="I52" s="1025">
        <f t="shared" si="5"/>
        <v>0</v>
      </c>
      <c r="J52" s="991">
        <f t="shared" si="6"/>
        <v>0</v>
      </c>
      <c r="K52" s="991">
        <v>0</v>
      </c>
      <c r="L52" s="991">
        <f t="shared" si="7"/>
        <v>0</v>
      </c>
      <c r="M52" s="991">
        <f t="shared" si="8"/>
        <v>0</v>
      </c>
      <c r="N52" s="981">
        <f>'Table 5C1A-Madison Prep'!N52</f>
        <v>2150</v>
      </c>
      <c r="O52" s="958">
        <f t="shared" si="9"/>
        <v>0</v>
      </c>
      <c r="P52" s="1028">
        <f t="shared" si="10"/>
        <v>0</v>
      </c>
      <c r="Q52" s="958">
        <f t="shared" si="11"/>
        <v>0</v>
      </c>
      <c r="R52" s="958">
        <v>0</v>
      </c>
      <c r="S52" s="958">
        <f t="shared" si="12"/>
        <v>0</v>
      </c>
      <c r="T52" s="958">
        <f t="shared" si="13"/>
        <v>0</v>
      </c>
      <c r="U52" s="959">
        <f t="shared" si="14"/>
        <v>0</v>
      </c>
      <c r="V52" s="959">
        <f t="shared" si="14"/>
        <v>0</v>
      </c>
    </row>
    <row r="53" spans="1:22">
      <c r="A53" s="960">
        <v>47</v>
      </c>
      <c r="B53" s="961" t="s">
        <v>139</v>
      </c>
      <c r="C53" s="1081">
        <f>'2-1-13 SIS'!O53</f>
        <v>0</v>
      </c>
      <c r="D53" s="966">
        <f>'Table 3 Levels 1&amp;2'!AL54</f>
        <v>2731.2444076222037</v>
      </c>
      <c r="E53" s="1013">
        <f t="shared" si="2"/>
        <v>0</v>
      </c>
      <c r="F53" s="1013">
        <f>'Table 4 Level 3'!P52</f>
        <v>910.76</v>
      </c>
      <c r="G53" s="1013">
        <f t="shared" si="3"/>
        <v>0</v>
      </c>
      <c r="H53" s="989">
        <f t="shared" si="4"/>
        <v>0</v>
      </c>
      <c r="I53" s="1023">
        <f t="shared" si="5"/>
        <v>0</v>
      </c>
      <c r="J53" s="989">
        <f t="shared" si="6"/>
        <v>0</v>
      </c>
      <c r="K53" s="989">
        <v>0</v>
      </c>
      <c r="L53" s="989">
        <f t="shared" si="7"/>
        <v>0</v>
      </c>
      <c r="M53" s="989">
        <f t="shared" si="8"/>
        <v>0</v>
      </c>
      <c r="N53" s="981">
        <f>'Table 5C1A-Madison Prep'!N53</f>
        <v>13280</v>
      </c>
      <c r="O53" s="983">
        <f t="shared" si="9"/>
        <v>0</v>
      </c>
      <c r="P53" s="1029">
        <f t="shared" si="10"/>
        <v>0</v>
      </c>
      <c r="Q53" s="983">
        <f t="shared" si="11"/>
        <v>0</v>
      </c>
      <c r="R53" s="983">
        <v>0</v>
      </c>
      <c r="S53" s="983">
        <f t="shared" si="12"/>
        <v>0</v>
      </c>
      <c r="T53" s="983">
        <f t="shared" si="13"/>
        <v>0</v>
      </c>
      <c r="U53" s="984">
        <f t="shared" si="14"/>
        <v>0</v>
      </c>
      <c r="V53" s="984">
        <f t="shared" si="14"/>
        <v>0</v>
      </c>
    </row>
    <row r="54" spans="1:22">
      <c r="A54" s="960">
        <v>48</v>
      </c>
      <c r="B54" s="961" t="s">
        <v>197</v>
      </c>
      <c r="C54" s="1081">
        <f>'2-1-13 SIS'!O54</f>
        <v>0</v>
      </c>
      <c r="D54" s="966">
        <f>'Table 3 Levels 1&amp;2'!AL55</f>
        <v>4272.723323083942</v>
      </c>
      <c r="E54" s="1013">
        <f t="shared" si="2"/>
        <v>0</v>
      </c>
      <c r="F54" s="1013">
        <f>'Table 4 Level 3'!P53</f>
        <v>871.07</v>
      </c>
      <c r="G54" s="1013">
        <f t="shared" si="3"/>
        <v>0</v>
      </c>
      <c r="H54" s="989">
        <f t="shared" si="4"/>
        <v>0</v>
      </c>
      <c r="I54" s="1023">
        <f t="shared" si="5"/>
        <v>0</v>
      </c>
      <c r="J54" s="989">
        <f t="shared" si="6"/>
        <v>0</v>
      </c>
      <c r="K54" s="989">
        <v>0</v>
      </c>
      <c r="L54" s="989">
        <f t="shared" si="7"/>
        <v>0</v>
      </c>
      <c r="M54" s="989">
        <f t="shared" si="8"/>
        <v>0</v>
      </c>
      <c r="N54" s="981">
        <f>'Table 5C1A-Madison Prep'!N54</f>
        <v>6453</v>
      </c>
      <c r="O54" s="983">
        <f t="shared" si="9"/>
        <v>0</v>
      </c>
      <c r="P54" s="1029">
        <f t="shared" si="10"/>
        <v>0</v>
      </c>
      <c r="Q54" s="983">
        <f t="shared" si="11"/>
        <v>0</v>
      </c>
      <c r="R54" s="983">
        <v>0</v>
      </c>
      <c r="S54" s="983">
        <f t="shared" si="12"/>
        <v>0</v>
      </c>
      <c r="T54" s="983">
        <f t="shared" si="13"/>
        <v>0</v>
      </c>
      <c r="U54" s="984">
        <f t="shared" si="14"/>
        <v>0</v>
      </c>
      <c r="V54" s="984">
        <f t="shared" si="14"/>
        <v>0</v>
      </c>
    </row>
    <row r="55" spans="1:22">
      <c r="A55" s="960">
        <v>49</v>
      </c>
      <c r="B55" s="961" t="s">
        <v>140</v>
      </c>
      <c r="C55" s="1081">
        <f>'2-1-13 SIS'!O55</f>
        <v>0</v>
      </c>
      <c r="D55" s="966">
        <f>'Table 3 Levels 1&amp;2'!AL56</f>
        <v>4836.7092570332552</v>
      </c>
      <c r="E55" s="1013">
        <f t="shared" si="2"/>
        <v>0</v>
      </c>
      <c r="F55" s="1013">
        <f>'Table 4 Level 3'!P54</f>
        <v>574.43999999999994</v>
      </c>
      <c r="G55" s="1013">
        <f t="shared" si="3"/>
        <v>0</v>
      </c>
      <c r="H55" s="989">
        <f t="shared" si="4"/>
        <v>0</v>
      </c>
      <c r="I55" s="1023">
        <f t="shared" si="5"/>
        <v>0</v>
      </c>
      <c r="J55" s="989">
        <f t="shared" si="6"/>
        <v>0</v>
      </c>
      <c r="K55" s="989">
        <v>0</v>
      </c>
      <c r="L55" s="989">
        <f t="shared" si="7"/>
        <v>0</v>
      </c>
      <c r="M55" s="989">
        <f t="shared" si="8"/>
        <v>0</v>
      </c>
      <c r="N55" s="981">
        <f>'Table 5C1A-Madison Prep'!N55</f>
        <v>2287</v>
      </c>
      <c r="O55" s="983">
        <f t="shared" si="9"/>
        <v>0</v>
      </c>
      <c r="P55" s="1029">
        <f t="shared" si="10"/>
        <v>0</v>
      </c>
      <c r="Q55" s="983">
        <f t="shared" si="11"/>
        <v>0</v>
      </c>
      <c r="R55" s="983">
        <v>0</v>
      </c>
      <c r="S55" s="983">
        <f t="shared" si="12"/>
        <v>0</v>
      </c>
      <c r="T55" s="983">
        <f t="shared" si="13"/>
        <v>0</v>
      </c>
      <c r="U55" s="984">
        <f t="shared" si="14"/>
        <v>0</v>
      </c>
      <c r="V55" s="984">
        <f t="shared" si="14"/>
        <v>0</v>
      </c>
    </row>
    <row r="56" spans="1:22">
      <c r="A56" s="963">
        <v>50</v>
      </c>
      <c r="B56" s="964" t="s">
        <v>141</v>
      </c>
      <c r="C56" s="1082">
        <f>'2-1-13 SIS'!O56</f>
        <v>0</v>
      </c>
      <c r="D56" s="967">
        <f>'Table 3 Levels 1&amp;2'!AL57</f>
        <v>5032.6862895017111</v>
      </c>
      <c r="E56" s="1014">
        <f t="shared" si="2"/>
        <v>0</v>
      </c>
      <c r="F56" s="1014">
        <f>'Table 4 Level 3'!P55</f>
        <v>634.46</v>
      </c>
      <c r="G56" s="1014">
        <f t="shared" si="3"/>
        <v>0</v>
      </c>
      <c r="H56" s="990">
        <f t="shared" si="4"/>
        <v>0</v>
      </c>
      <c r="I56" s="1024">
        <f t="shared" si="5"/>
        <v>0</v>
      </c>
      <c r="J56" s="990">
        <f t="shared" si="6"/>
        <v>0</v>
      </c>
      <c r="K56" s="990">
        <v>0</v>
      </c>
      <c r="L56" s="990">
        <f t="shared" si="7"/>
        <v>0</v>
      </c>
      <c r="M56" s="990">
        <f t="shared" si="8"/>
        <v>0</v>
      </c>
      <c r="N56" s="986">
        <f>'Table 5C1A-Madison Prep'!N56</f>
        <v>2801</v>
      </c>
      <c r="O56" s="987">
        <f t="shared" si="9"/>
        <v>0</v>
      </c>
      <c r="P56" s="1030">
        <f t="shared" si="10"/>
        <v>0</v>
      </c>
      <c r="Q56" s="987">
        <f t="shared" si="11"/>
        <v>0</v>
      </c>
      <c r="R56" s="987">
        <v>0</v>
      </c>
      <c r="S56" s="987">
        <f t="shared" si="12"/>
        <v>0</v>
      </c>
      <c r="T56" s="987">
        <f t="shared" si="13"/>
        <v>0</v>
      </c>
      <c r="U56" s="988">
        <f t="shared" si="14"/>
        <v>0</v>
      </c>
      <c r="V56" s="988">
        <f t="shared" si="14"/>
        <v>0</v>
      </c>
    </row>
    <row r="57" spans="1:22">
      <c r="A57" s="953">
        <v>51</v>
      </c>
      <c r="B57" s="954" t="s">
        <v>142</v>
      </c>
      <c r="C57" s="1083">
        <f>'2-1-13 SIS'!O57</f>
        <v>0</v>
      </c>
      <c r="D57" s="968">
        <f>'Table 3 Levels 1&amp;2'!AL58</f>
        <v>4246.0339872793602</v>
      </c>
      <c r="E57" s="1015">
        <f t="shared" si="2"/>
        <v>0</v>
      </c>
      <c r="F57" s="1015">
        <f>'Table 4 Level 3'!P56</f>
        <v>706.66</v>
      </c>
      <c r="G57" s="1015">
        <f t="shared" si="3"/>
        <v>0</v>
      </c>
      <c r="H57" s="991">
        <f t="shared" si="4"/>
        <v>0</v>
      </c>
      <c r="I57" s="1025">
        <f t="shared" si="5"/>
        <v>0</v>
      </c>
      <c r="J57" s="991">
        <f t="shared" si="6"/>
        <v>0</v>
      </c>
      <c r="K57" s="991">
        <v>0</v>
      </c>
      <c r="L57" s="991">
        <f t="shared" si="7"/>
        <v>0</v>
      </c>
      <c r="M57" s="991">
        <f t="shared" si="8"/>
        <v>0</v>
      </c>
      <c r="N57" s="981">
        <f>'Table 5C1A-Madison Prep'!N57</f>
        <v>4215</v>
      </c>
      <c r="O57" s="958">
        <f t="shared" si="9"/>
        <v>0</v>
      </c>
      <c r="P57" s="1028">
        <f t="shared" si="10"/>
        <v>0</v>
      </c>
      <c r="Q57" s="958">
        <f t="shared" si="11"/>
        <v>0</v>
      </c>
      <c r="R57" s="958">
        <v>0</v>
      </c>
      <c r="S57" s="958">
        <f t="shared" si="12"/>
        <v>0</v>
      </c>
      <c r="T57" s="958">
        <f t="shared" si="13"/>
        <v>0</v>
      </c>
      <c r="U57" s="959">
        <f t="shared" si="14"/>
        <v>0</v>
      </c>
      <c r="V57" s="959">
        <f t="shared" si="14"/>
        <v>0</v>
      </c>
    </row>
    <row r="58" spans="1:22">
      <c r="A58" s="960">
        <v>52</v>
      </c>
      <c r="B58" s="961" t="s">
        <v>143</v>
      </c>
      <c r="C58" s="1081">
        <f>'2-1-13 SIS'!O58</f>
        <v>0</v>
      </c>
      <c r="D58" s="966">
        <f>'Table 3 Levels 1&amp;2'!AL59</f>
        <v>5013.4438050113249</v>
      </c>
      <c r="E58" s="1013">
        <f t="shared" si="2"/>
        <v>0</v>
      </c>
      <c r="F58" s="1013">
        <f>'Table 4 Level 3'!P57</f>
        <v>658.37</v>
      </c>
      <c r="G58" s="1013">
        <f t="shared" si="3"/>
        <v>0</v>
      </c>
      <c r="H58" s="989">
        <f t="shared" si="4"/>
        <v>0</v>
      </c>
      <c r="I58" s="1023">
        <f t="shared" si="5"/>
        <v>0</v>
      </c>
      <c r="J58" s="989">
        <f t="shared" si="6"/>
        <v>0</v>
      </c>
      <c r="K58" s="989">
        <v>0</v>
      </c>
      <c r="L58" s="989">
        <f t="shared" si="7"/>
        <v>0</v>
      </c>
      <c r="M58" s="989">
        <f t="shared" si="8"/>
        <v>0</v>
      </c>
      <c r="N58" s="981">
        <f>'Table 5C1A-Madison Prep'!N58</f>
        <v>4889</v>
      </c>
      <c r="O58" s="983">
        <f t="shared" si="9"/>
        <v>0</v>
      </c>
      <c r="P58" s="1029">
        <f t="shared" si="10"/>
        <v>0</v>
      </c>
      <c r="Q58" s="983">
        <f t="shared" si="11"/>
        <v>0</v>
      </c>
      <c r="R58" s="983">
        <v>0</v>
      </c>
      <c r="S58" s="983">
        <f t="shared" si="12"/>
        <v>0</v>
      </c>
      <c r="T58" s="983">
        <f t="shared" si="13"/>
        <v>0</v>
      </c>
      <c r="U58" s="984">
        <f t="shared" si="14"/>
        <v>0</v>
      </c>
      <c r="V58" s="984">
        <f t="shared" si="14"/>
        <v>0</v>
      </c>
    </row>
    <row r="59" spans="1:22">
      <c r="A59" s="960">
        <v>53</v>
      </c>
      <c r="B59" s="961" t="s">
        <v>144</v>
      </c>
      <c r="C59" s="1081">
        <f>'2-1-13 SIS'!O59</f>
        <v>0</v>
      </c>
      <c r="D59" s="966">
        <f>'Table 3 Levels 1&amp;2'!AL60</f>
        <v>4775.5877635581091</v>
      </c>
      <c r="E59" s="1013">
        <f t="shared" si="2"/>
        <v>0</v>
      </c>
      <c r="F59" s="1013">
        <f>'Table 4 Level 3'!P58</f>
        <v>689.74</v>
      </c>
      <c r="G59" s="1013">
        <f t="shared" si="3"/>
        <v>0</v>
      </c>
      <c r="H59" s="989">
        <f t="shared" si="4"/>
        <v>0</v>
      </c>
      <c r="I59" s="1023">
        <f t="shared" si="5"/>
        <v>0</v>
      </c>
      <c r="J59" s="989">
        <f t="shared" si="6"/>
        <v>0</v>
      </c>
      <c r="K59" s="989">
        <v>0</v>
      </c>
      <c r="L59" s="989">
        <f t="shared" si="7"/>
        <v>0</v>
      </c>
      <c r="M59" s="989">
        <f t="shared" si="8"/>
        <v>0</v>
      </c>
      <c r="N59" s="981">
        <f>'Table 5C1A-Madison Prep'!N59</f>
        <v>2119</v>
      </c>
      <c r="O59" s="983">
        <f t="shared" si="9"/>
        <v>0</v>
      </c>
      <c r="P59" s="1029">
        <f t="shared" si="10"/>
        <v>0</v>
      </c>
      <c r="Q59" s="983">
        <f t="shared" si="11"/>
        <v>0</v>
      </c>
      <c r="R59" s="983">
        <v>0</v>
      </c>
      <c r="S59" s="983">
        <f t="shared" si="12"/>
        <v>0</v>
      </c>
      <c r="T59" s="983">
        <f t="shared" si="13"/>
        <v>0</v>
      </c>
      <c r="U59" s="984">
        <f t="shared" si="14"/>
        <v>0</v>
      </c>
      <c r="V59" s="984">
        <f t="shared" si="14"/>
        <v>0</v>
      </c>
    </row>
    <row r="60" spans="1:22">
      <c r="A60" s="960">
        <v>54</v>
      </c>
      <c r="B60" s="961" t="s">
        <v>145</v>
      </c>
      <c r="C60" s="1081">
        <f>'2-1-13 SIS'!O60</f>
        <v>0</v>
      </c>
      <c r="D60" s="966">
        <f>'Table 3 Levels 1&amp;2'!AL61</f>
        <v>5951.8009386275662</v>
      </c>
      <c r="E60" s="1013">
        <f t="shared" si="2"/>
        <v>0</v>
      </c>
      <c r="F60" s="1013">
        <f>'Table 4 Level 3'!P59</f>
        <v>951.45</v>
      </c>
      <c r="G60" s="1013">
        <f t="shared" si="3"/>
        <v>0</v>
      </c>
      <c r="H60" s="989">
        <f t="shared" si="4"/>
        <v>0</v>
      </c>
      <c r="I60" s="1023">
        <f t="shared" si="5"/>
        <v>0</v>
      </c>
      <c r="J60" s="989">
        <f t="shared" si="6"/>
        <v>0</v>
      </c>
      <c r="K60" s="989">
        <v>0</v>
      </c>
      <c r="L60" s="989">
        <f t="shared" si="7"/>
        <v>0</v>
      </c>
      <c r="M60" s="989">
        <f t="shared" si="8"/>
        <v>0</v>
      </c>
      <c r="N60" s="981">
        <f>'Table 5C1A-Madison Prep'!N60</f>
        <v>3690</v>
      </c>
      <c r="O60" s="983">
        <f t="shared" si="9"/>
        <v>0</v>
      </c>
      <c r="P60" s="1029">
        <f t="shared" si="10"/>
        <v>0</v>
      </c>
      <c r="Q60" s="983">
        <f t="shared" si="11"/>
        <v>0</v>
      </c>
      <c r="R60" s="983">
        <v>0</v>
      </c>
      <c r="S60" s="983">
        <f t="shared" si="12"/>
        <v>0</v>
      </c>
      <c r="T60" s="983">
        <f t="shared" si="13"/>
        <v>0</v>
      </c>
      <c r="U60" s="984">
        <f t="shared" si="14"/>
        <v>0</v>
      </c>
      <c r="V60" s="984">
        <f t="shared" si="14"/>
        <v>0</v>
      </c>
    </row>
    <row r="61" spans="1:22">
      <c r="A61" s="963">
        <v>55</v>
      </c>
      <c r="B61" s="964" t="s">
        <v>146</v>
      </c>
      <c r="C61" s="1082">
        <f>'2-1-13 SIS'!O61</f>
        <v>0</v>
      </c>
      <c r="D61" s="967">
        <f>'Table 3 Levels 1&amp;2'!AL62</f>
        <v>4171.0434735233157</v>
      </c>
      <c r="E61" s="1014">
        <f t="shared" si="2"/>
        <v>0</v>
      </c>
      <c r="F61" s="1014">
        <f>'Table 4 Level 3'!P60</f>
        <v>795.14</v>
      </c>
      <c r="G61" s="1014">
        <f t="shared" si="3"/>
        <v>0</v>
      </c>
      <c r="H61" s="990">
        <f t="shared" si="4"/>
        <v>0</v>
      </c>
      <c r="I61" s="1024">
        <f t="shared" si="5"/>
        <v>0</v>
      </c>
      <c r="J61" s="990">
        <f t="shared" si="6"/>
        <v>0</v>
      </c>
      <c r="K61" s="990">
        <v>0</v>
      </c>
      <c r="L61" s="990">
        <f t="shared" si="7"/>
        <v>0</v>
      </c>
      <c r="M61" s="990">
        <f t="shared" si="8"/>
        <v>0</v>
      </c>
      <c r="N61" s="986">
        <f>'Table 5C1A-Madison Prep'!N61</f>
        <v>3157</v>
      </c>
      <c r="O61" s="987">
        <f t="shared" si="9"/>
        <v>0</v>
      </c>
      <c r="P61" s="1030">
        <f t="shared" si="10"/>
        <v>0</v>
      </c>
      <c r="Q61" s="987">
        <f t="shared" si="11"/>
        <v>0</v>
      </c>
      <c r="R61" s="987">
        <v>0</v>
      </c>
      <c r="S61" s="987">
        <f t="shared" si="12"/>
        <v>0</v>
      </c>
      <c r="T61" s="987">
        <f t="shared" si="13"/>
        <v>0</v>
      </c>
      <c r="U61" s="988">
        <f t="shared" si="14"/>
        <v>0</v>
      </c>
      <c r="V61" s="988">
        <f t="shared" si="14"/>
        <v>0</v>
      </c>
    </row>
    <row r="62" spans="1:22">
      <c r="A62" s="953">
        <v>56</v>
      </c>
      <c r="B62" s="954" t="s">
        <v>147</v>
      </c>
      <c r="C62" s="1083">
        <f>'2-1-13 SIS'!O62</f>
        <v>0</v>
      </c>
      <c r="D62" s="968">
        <f>'Table 3 Levels 1&amp;2'!AL63</f>
        <v>4968.593189672727</v>
      </c>
      <c r="E62" s="1015">
        <f t="shared" si="2"/>
        <v>0</v>
      </c>
      <c r="F62" s="1015">
        <f>'Table 4 Level 3'!P61</f>
        <v>614.66000000000008</v>
      </c>
      <c r="G62" s="1015">
        <f t="shared" si="3"/>
        <v>0</v>
      </c>
      <c r="H62" s="991">
        <f t="shared" si="4"/>
        <v>0</v>
      </c>
      <c r="I62" s="1025">
        <f t="shared" si="5"/>
        <v>0</v>
      </c>
      <c r="J62" s="991">
        <f t="shared" si="6"/>
        <v>0</v>
      </c>
      <c r="K62" s="991">
        <v>0</v>
      </c>
      <c r="L62" s="991">
        <f t="shared" si="7"/>
        <v>0</v>
      </c>
      <c r="M62" s="991">
        <f t="shared" si="8"/>
        <v>0</v>
      </c>
      <c r="N62" s="981">
        <f>'Table 5C1A-Madison Prep'!N62</f>
        <v>2779</v>
      </c>
      <c r="O62" s="958">
        <f t="shared" si="9"/>
        <v>0</v>
      </c>
      <c r="P62" s="1028">
        <f t="shared" si="10"/>
        <v>0</v>
      </c>
      <c r="Q62" s="958">
        <f t="shared" si="11"/>
        <v>0</v>
      </c>
      <c r="R62" s="958">
        <v>0</v>
      </c>
      <c r="S62" s="958">
        <f t="shared" si="12"/>
        <v>0</v>
      </c>
      <c r="T62" s="958">
        <f t="shared" si="13"/>
        <v>0</v>
      </c>
      <c r="U62" s="959">
        <f t="shared" si="14"/>
        <v>0</v>
      </c>
      <c r="V62" s="959">
        <f t="shared" si="14"/>
        <v>0</v>
      </c>
    </row>
    <row r="63" spans="1:22">
      <c r="A63" s="960">
        <v>57</v>
      </c>
      <c r="B63" s="961" t="s">
        <v>148</v>
      </c>
      <c r="C63" s="1081">
        <f>'2-1-13 SIS'!O63</f>
        <v>0</v>
      </c>
      <c r="D63" s="966">
        <f>'Table 3 Levels 1&amp;2'!AL64</f>
        <v>4485.7073020218859</v>
      </c>
      <c r="E63" s="1013">
        <f t="shared" si="2"/>
        <v>0</v>
      </c>
      <c r="F63" s="1013">
        <f>'Table 4 Level 3'!P62</f>
        <v>764.51</v>
      </c>
      <c r="G63" s="1013">
        <f t="shared" si="3"/>
        <v>0</v>
      </c>
      <c r="H63" s="989">
        <f t="shared" si="4"/>
        <v>0</v>
      </c>
      <c r="I63" s="1023">
        <f t="shared" si="5"/>
        <v>0</v>
      </c>
      <c r="J63" s="989">
        <f t="shared" si="6"/>
        <v>0</v>
      </c>
      <c r="K63" s="989">
        <v>0</v>
      </c>
      <c r="L63" s="989">
        <f t="shared" si="7"/>
        <v>0</v>
      </c>
      <c r="M63" s="989">
        <f t="shared" si="8"/>
        <v>0</v>
      </c>
      <c r="N63" s="981">
        <f>'Table 5C1A-Madison Prep'!N63</f>
        <v>3107</v>
      </c>
      <c r="O63" s="983">
        <f t="shared" si="9"/>
        <v>0</v>
      </c>
      <c r="P63" s="1029">
        <f t="shared" si="10"/>
        <v>0</v>
      </c>
      <c r="Q63" s="983">
        <f t="shared" si="11"/>
        <v>0</v>
      </c>
      <c r="R63" s="983">
        <v>0</v>
      </c>
      <c r="S63" s="983">
        <f t="shared" si="12"/>
        <v>0</v>
      </c>
      <c r="T63" s="983">
        <f t="shared" si="13"/>
        <v>0</v>
      </c>
      <c r="U63" s="984">
        <f t="shared" si="14"/>
        <v>0</v>
      </c>
      <c r="V63" s="984">
        <f t="shared" si="14"/>
        <v>0</v>
      </c>
    </row>
    <row r="64" spans="1:22">
      <c r="A64" s="960">
        <v>58</v>
      </c>
      <c r="B64" s="961" t="s">
        <v>149</v>
      </c>
      <c r="C64" s="1081">
        <f>'2-1-13 SIS'!O64</f>
        <v>0</v>
      </c>
      <c r="D64" s="966">
        <f>'Table 3 Levels 1&amp;2'!AL65</f>
        <v>5457.8662803476354</v>
      </c>
      <c r="E64" s="1013">
        <f t="shared" si="2"/>
        <v>0</v>
      </c>
      <c r="F64" s="1013">
        <f>'Table 4 Level 3'!P63</f>
        <v>697.04</v>
      </c>
      <c r="G64" s="1013">
        <f t="shared" si="3"/>
        <v>0</v>
      </c>
      <c r="H64" s="989">
        <f t="shared" si="4"/>
        <v>0</v>
      </c>
      <c r="I64" s="1023">
        <f t="shared" si="5"/>
        <v>0</v>
      </c>
      <c r="J64" s="989">
        <f t="shared" si="6"/>
        <v>0</v>
      </c>
      <c r="K64" s="989">
        <v>0</v>
      </c>
      <c r="L64" s="989">
        <f t="shared" si="7"/>
        <v>0</v>
      </c>
      <c r="M64" s="989">
        <f t="shared" si="8"/>
        <v>0</v>
      </c>
      <c r="N64" s="981">
        <f>'Table 5C1A-Madison Prep'!N64</f>
        <v>2105</v>
      </c>
      <c r="O64" s="983">
        <f t="shared" si="9"/>
        <v>0</v>
      </c>
      <c r="P64" s="1029">
        <f t="shared" si="10"/>
        <v>0</v>
      </c>
      <c r="Q64" s="983">
        <f t="shared" si="11"/>
        <v>0</v>
      </c>
      <c r="R64" s="983">
        <v>0</v>
      </c>
      <c r="S64" s="983">
        <f t="shared" si="12"/>
        <v>0</v>
      </c>
      <c r="T64" s="983">
        <f t="shared" si="13"/>
        <v>0</v>
      </c>
      <c r="U64" s="984">
        <f t="shared" si="14"/>
        <v>0</v>
      </c>
      <c r="V64" s="984">
        <f t="shared" si="14"/>
        <v>0</v>
      </c>
    </row>
    <row r="65" spans="1:22">
      <c r="A65" s="960">
        <v>59</v>
      </c>
      <c r="B65" s="961" t="s">
        <v>150</v>
      </c>
      <c r="C65" s="1081">
        <f>'2-1-13 SIS'!O65</f>
        <v>0</v>
      </c>
      <c r="D65" s="966">
        <f>'Table 3 Levels 1&amp;2'!AL66</f>
        <v>6274.2786338006481</v>
      </c>
      <c r="E65" s="1013">
        <f t="shared" si="2"/>
        <v>0</v>
      </c>
      <c r="F65" s="1013">
        <f>'Table 4 Level 3'!P64</f>
        <v>689.52</v>
      </c>
      <c r="G65" s="1013">
        <f t="shared" si="3"/>
        <v>0</v>
      </c>
      <c r="H65" s="989">
        <f t="shared" si="4"/>
        <v>0</v>
      </c>
      <c r="I65" s="1023">
        <f t="shared" si="5"/>
        <v>0</v>
      </c>
      <c r="J65" s="989">
        <f t="shared" si="6"/>
        <v>0</v>
      </c>
      <c r="K65" s="989">
        <v>0</v>
      </c>
      <c r="L65" s="989">
        <f t="shared" si="7"/>
        <v>0</v>
      </c>
      <c r="M65" s="989">
        <f t="shared" si="8"/>
        <v>0</v>
      </c>
      <c r="N65" s="981">
        <f>'Table 5C1A-Madison Prep'!N65</f>
        <v>1510</v>
      </c>
      <c r="O65" s="983">
        <f t="shared" si="9"/>
        <v>0</v>
      </c>
      <c r="P65" s="1029">
        <f t="shared" si="10"/>
        <v>0</v>
      </c>
      <c r="Q65" s="983">
        <f t="shared" si="11"/>
        <v>0</v>
      </c>
      <c r="R65" s="983">
        <v>0</v>
      </c>
      <c r="S65" s="983">
        <f t="shared" si="12"/>
        <v>0</v>
      </c>
      <c r="T65" s="983">
        <f t="shared" si="13"/>
        <v>0</v>
      </c>
      <c r="U65" s="984">
        <f t="shared" si="14"/>
        <v>0</v>
      </c>
      <c r="V65" s="984">
        <f t="shared" si="14"/>
        <v>0</v>
      </c>
    </row>
    <row r="66" spans="1:22">
      <c r="A66" s="963">
        <v>60</v>
      </c>
      <c r="B66" s="964" t="s">
        <v>151</v>
      </c>
      <c r="C66" s="1082">
        <f>'2-1-13 SIS'!O66</f>
        <v>0</v>
      </c>
      <c r="D66" s="967">
        <f>'Table 3 Levels 1&amp;2'!AL67</f>
        <v>4940.9166775610411</v>
      </c>
      <c r="E66" s="1014">
        <f t="shared" si="2"/>
        <v>0</v>
      </c>
      <c r="F66" s="1014">
        <f>'Table 4 Level 3'!P65</f>
        <v>594.04</v>
      </c>
      <c r="G66" s="1014">
        <f t="shared" si="3"/>
        <v>0</v>
      </c>
      <c r="H66" s="990">
        <f t="shared" si="4"/>
        <v>0</v>
      </c>
      <c r="I66" s="1024">
        <f t="shared" si="5"/>
        <v>0</v>
      </c>
      <c r="J66" s="990">
        <f t="shared" si="6"/>
        <v>0</v>
      </c>
      <c r="K66" s="990">
        <v>0</v>
      </c>
      <c r="L66" s="990">
        <f t="shared" si="7"/>
        <v>0</v>
      </c>
      <c r="M66" s="990">
        <f t="shared" si="8"/>
        <v>0</v>
      </c>
      <c r="N66" s="986">
        <f>'Table 5C1A-Madison Prep'!N66</f>
        <v>3793</v>
      </c>
      <c r="O66" s="987">
        <f t="shared" si="9"/>
        <v>0</v>
      </c>
      <c r="P66" s="1030">
        <f t="shared" si="10"/>
        <v>0</v>
      </c>
      <c r="Q66" s="987">
        <f t="shared" si="11"/>
        <v>0</v>
      </c>
      <c r="R66" s="987">
        <v>0</v>
      </c>
      <c r="S66" s="987">
        <f t="shared" si="12"/>
        <v>0</v>
      </c>
      <c r="T66" s="987">
        <f t="shared" si="13"/>
        <v>0</v>
      </c>
      <c r="U66" s="988">
        <f t="shared" si="14"/>
        <v>0</v>
      </c>
      <c r="V66" s="988">
        <f t="shared" si="14"/>
        <v>0</v>
      </c>
    </row>
    <row r="67" spans="1:22">
      <c r="A67" s="953">
        <v>61</v>
      </c>
      <c r="B67" s="954" t="s">
        <v>152</v>
      </c>
      <c r="C67" s="1083">
        <f>'2-1-13 SIS'!O67</f>
        <v>0</v>
      </c>
      <c r="D67" s="968">
        <f>'Table 3 Levels 1&amp;2'!AL68</f>
        <v>2908.0344869339228</v>
      </c>
      <c r="E67" s="1015">
        <f t="shared" si="2"/>
        <v>0</v>
      </c>
      <c r="F67" s="1015">
        <f>'Table 4 Level 3'!P66</f>
        <v>833.70999999999992</v>
      </c>
      <c r="G67" s="1015">
        <f t="shared" si="3"/>
        <v>0</v>
      </c>
      <c r="H67" s="991">
        <f t="shared" si="4"/>
        <v>0</v>
      </c>
      <c r="I67" s="1025">
        <f t="shared" si="5"/>
        <v>0</v>
      </c>
      <c r="J67" s="991">
        <f t="shared" si="6"/>
        <v>0</v>
      </c>
      <c r="K67" s="991">
        <v>0</v>
      </c>
      <c r="L67" s="991">
        <f t="shared" si="7"/>
        <v>0</v>
      </c>
      <c r="M67" s="991">
        <f t="shared" si="8"/>
        <v>0</v>
      </c>
      <c r="N67" s="981">
        <f>'Table 5C1A-Madison Prep'!N67</f>
        <v>6570</v>
      </c>
      <c r="O67" s="958">
        <f t="shared" si="9"/>
        <v>0</v>
      </c>
      <c r="P67" s="1028">
        <f t="shared" si="10"/>
        <v>0</v>
      </c>
      <c r="Q67" s="958">
        <f t="shared" si="11"/>
        <v>0</v>
      </c>
      <c r="R67" s="958">
        <v>0</v>
      </c>
      <c r="S67" s="958">
        <f t="shared" si="12"/>
        <v>0</v>
      </c>
      <c r="T67" s="958">
        <f t="shared" si="13"/>
        <v>0</v>
      </c>
      <c r="U67" s="959">
        <f t="shared" si="14"/>
        <v>0</v>
      </c>
      <c r="V67" s="959">
        <f t="shared" si="14"/>
        <v>0</v>
      </c>
    </row>
    <row r="68" spans="1:22">
      <c r="A68" s="960">
        <v>62</v>
      </c>
      <c r="B68" s="961" t="s">
        <v>153</v>
      </c>
      <c r="C68" s="1081">
        <f>'2-1-13 SIS'!O68</f>
        <v>0</v>
      </c>
      <c r="D68" s="966">
        <f>'Table 3 Levels 1&amp;2'!AL69</f>
        <v>5652.1730736722093</v>
      </c>
      <c r="E68" s="1013">
        <f t="shared" si="2"/>
        <v>0</v>
      </c>
      <c r="F68" s="1013">
        <f>'Table 4 Level 3'!P67</f>
        <v>516.08000000000004</v>
      </c>
      <c r="G68" s="1013">
        <f t="shared" si="3"/>
        <v>0</v>
      </c>
      <c r="H68" s="989">
        <f t="shared" si="4"/>
        <v>0</v>
      </c>
      <c r="I68" s="1023">
        <f t="shared" si="5"/>
        <v>0</v>
      </c>
      <c r="J68" s="989">
        <f t="shared" si="6"/>
        <v>0</v>
      </c>
      <c r="K68" s="989">
        <v>0</v>
      </c>
      <c r="L68" s="989">
        <f t="shared" si="7"/>
        <v>0</v>
      </c>
      <c r="M68" s="989">
        <f t="shared" si="8"/>
        <v>0</v>
      </c>
      <c r="N68" s="981">
        <f>'Table 5C1A-Madison Prep'!N68</f>
        <v>1934</v>
      </c>
      <c r="O68" s="983">
        <f t="shared" si="9"/>
        <v>0</v>
      </c>
      <c r="P68" s="1029">
        <f t="shared" si="10"/>
        <v>0</v>
      </c>
      <c r="Q68" s="983">
        <f t="shared" si="11"/>
        <v>0</v>
      </c>
      <c r="R68" s="983">
        <v>0</v>
      </c>
      <c r="S68" s="983">
        <f t="shared" si="12"/>
        <v>0</v>
      </c>
      <c r="T68" s="983">
        <f t="shared" si="13"/>
        <v>0</v>
      </c>
      <c r="U68" s="984">
        <f t="shared" si="14"/>
        <v>0</v>
      </c>
      <c r="V68" s="984">
        <f t="shared" si="14"/>
        <v>0</v>
      </c>
    </row>
    <row r="69" spans="1:22">
      <c r="A69" s="960">
        <v>63</v>
      </c>
      <c r="B69" s="961" t="s">
        <v>154</v>
      </c>
      <c r="C69" s="1081">
        <f>'2-1-13 SIS'!O69</f>
        <v>0</v>
      </c>
      <c r="D69" s="966">
        <f>'Table 3 Levels 1&amp;2'!AL70</f>
        <v>4362.300753810403</v>
      </c>
      <c r="E69" s="1013">
        <f t="shared" si="2"/>
        <v>0</v>
      </c>
      <c r="F69" s="1013">
        <f>'Table 4 Level 3'!P68</f>
        <v>756.79</v>
      </c>
      <c r="G69" s="1013">
        <f t="shared" si="3"/>
        <v>0</v>
      </c>
      <c r="H69" s="989">
        <f t="shared" si="4"/>
        <v>0</v>
      </c>
      <c r="I69" s="1023">
        <f t="shared" si="5"/>
        <v>0</v>
      </c>
      <c r="J69" s="989">
        <f t="shared" si="6"/>
        <v>0</v>
      </c>
      <c r="K69" s="989">
        <v>0</v>
      </c>
      <c r="L69" s="989">
        <f t="shared" si="7"/>
        <v>0</v>
      </c>
      <c r="M69" s="989">
        <f t="shared" si="8"/>
        <v>0</v>
      </c>
      <c r="N69" s="981">
        <f>'Table 5C1A-Madison Prep'!N69</f>
        <v>6787</v>
      </c>
      <c r="O69" s="983">
        <f t="shared" si="9"/>
        <v>0</v>
      </c>
      <c r="P69" s="1029">
        <f t="shared" si="10"/>
        <v>0</v>
      </c>
      <c r="Q69" s="983">
        <f t="shared" si="11"/>
        <v>0</v>
      </c>
      <c r="R69" s="983">
        <v>0</v>
      </c>
      <c r="S69" s="983">
        <f t="shared" si="12"/>
        <v>0</v>
      </c>
      <c r="T69" s="983">
        <f t="shared" si="13"/>
        <v>0</v>
      </c>
      <c r="U69" s="984">
        <f t="shared" si="14"/>
        <v>0</v>
      </c>
      <c r="V69" s="984">
        <f t="shared" si="14"/>
        <v>0</v>
      </c>
    </row>
    <row r="70" spans="1:22">
      <c r="A70" s="960">
        <v>64</v>
      </c>
      <c r="B70" s="961" t="s">
        <v>155</v>
      </c>
      <c r="C70" s="1081">
        <f>'2-1-13 SIS'!O70</f>
        <v>0</v>
      </c>
      <c r="D70" s="966">
        <f>'Table 3 Levels 1&amp;2'!AL71</f>
        <v>5960.2049072003338</v>
      </c>
      <c r="E70" s="1013">
        <f t="shared" si="2"/>
        <v>0</v>
      </c>
      <c r="F70" s="1013">
        <f>'Table 4 Level 3'!P69</f>
        <v>592.66</v>
      </c>
      <c r="G70" s="1013">
        <f t="shared" si="3"/>
        <v>0</v>
      </c>
      <c r="H70" s="989">
        <f t="shared" si="4"/>
        <v>0</v>
      </c>
      <c r="I70" s="1023">
        <f t="shared" si="5"/>
        <v>0</v>
      </c>
      <c r="J70" s="989">
        <f t="shared" si="6"/>
        <v>0</v>
      </c>
      <c r="K70" s="989">
        <v>0</v>
      </c>
      <c r="L70" s="989">
        <f t="shared" si="7"/>
        <v>0</v>
      </c>
      <c r="M70" s="989">
        <f t="shared" si="8"/>
        <v>0</v>
      </c>
      <c r="N70" s="981">
        <f>'Table 5C1A-Madison Prep'!N70</f>
        <v>2901</v>
      </c>
      <c r="O70" s="983">
        <f t="shared" si="9"/>
        <v>0</v>
      </c>
      <c r="P70" s="1029">
        <f t="shared" si="10"/>
        <v>0</v>
      </c>
      <c r="Q70" s="983">
        <f t="shared" si="11"/>
        <v>0</v>
      </c>
      <c r="R70" s="983">
        <v>0</v>
      </c>
      <c r="S70" s="983">
        <f t="shared" si="12"/>
        <v>0</v>
      </c>
      <c r="T70" s="983">
        <f t="shared" si="13"/>
        <v>0</v>
      </c>
      <c r="U70" s="984">
        <f t="shared" si="14"/>
        <v>0</v>
      </c>
      <c r="V70" s="984">
        <f t="shared" si="14"/>
        <v>0</v>
      </c>
    </row>
    <row r="71" spans="1:22">
      <c r="A71" s="963">
        <v>65</v>
      </c>
      <c r="B71" s="964" t="s">
        <v>156</v>
      </c>
      <c r="C71" s="1082">
        <f>'2-1-13 SIS'!O71</f>
        <v>0</v>
      </c>
      <c r="D71" s="967">
        <f>'Table 3 Levels 1&amp;2'!AL72</f>
        <v>4579.2772303106676</v>
      </c>
      <c r="E71" s="1014">
        <f t="shared" si="2"/>
        <v>0</v>
      </c>
      <c r="F71" s="1014">
        <f>'Table 4 Level 3'!P70</f>
        <v>829.12</v>
      </c>
      <c r="G71" s="1014">
        <f t="shared" si="3"/>
        <v>0</v>
      </c>
      <c r="H71" s="990">
        <f t="shared" si="4"/>
        <v>0</v>
      </c>
      <c r="I71" s="1024">
        <f t="shared" si="5"/>
        <v>0</v>
      </c>
      <c r="J71" s="990">
        <f t="shared" si="6"/>
        <v>0</v>
      </c>
      <c r="K71" s="990">
        <v>0</v>
      </c>
      <c r="L71" s="990">
        <f t="shared" si="7"/>
        <v>0</v>
      </c>
      <c r="M71" s="990">
        <f t="shared" si="8"/>
        <v>0</v>
      </c>
      <c r="N71" s="986">
        <f>'Table 5C1A-Madison Prep'!N71</f>
        <v>5001</v>
      </c>
      <c r="O71" s="987">
        <f t="shared" si="9"/>
        <v>0</v>
      </c>
      <c r="P71" s="1030">
        <f t="shared" si="10"/>
        <v>0</v>
      </c>
      <c r="Q71" s="987">
        <f t="shared" si="11"/>
        <v>0</v>
      </c>
      <c r="R71" s="987">
        <v>0</v>
      </c>
      <c r="S71" s="987">
        <f t="shared" si="12"/>
        <v>0</v>
      </c>
      <c r="T71" s="987">
        <f t="shared" si="13"/>
        <v>0</v>
      </c>
      <c r="U71" s="988">
        <f t="shared" si="14"/>
        <v>0</v>
      </c>
      <c r="V71" s="988">
        <f t="shared" si="14"/>
        <v>0</v>
      </c>
    </row>
    <row r="72" spans="1:22">
      <c r="A72" s="953">
        <v>66</v>
      </c>
      <c r="B72" s="954" t="s">
        <v>157</v>
      </c>
      <c r="C72" s="1083">
        <f>'2-1-13 SIS'!O72</f>
        <v>0</v>
      </c>
      <c r="D72" s="968">
        <f>'Table 3 Levels 1&amp;2'!AL73</f>
        <v>6370.8108195713585</v>
      </c>
      <c r="E72" s="1015">
        <f t="shared" ref="E72:E75" si="15">C72*D72</f>
        <v>0</v>
      </c>
      <c r="F72" s="1015">
        <f>'Table 4 Level 3'!P71</f>
        <v>730.06</v>
      </c>
      <c r="G72" s="1015">
        <f t="shared" ref="G72:G75" si="16">C72*F72</f>
        <v>0</v>
      </c>
      <c r="H72" s="991">
        <f t="shared" ref="H72:H75" si="17">E72+G72</f>
        <v>0</v>
      </c>
      <c r="I72" s="1025">
        <f t="shared" ref="I72:I75" si="18">-(0.25%*H72)</f>
        <v>0</v>
      </c>
      <c r="J72" s="991">
        <f t="shared" ref="J72:J75" si="19">SUM(H72:I72)</f>
        <v>0</v>
      </c>
      <c r="K72" s="991">
        <v>0</v>
      </c>
      <c r="L72" s="991">
        <f t="shared" ref="L72:L75" si="20">SUM(J72:K72)</f>
        <v>0</v>
      </c>
      <c r="M72" s="991">
        <f t="shared" ref="M72:M75" si="21">L72/12</f>
        <v>0</v>
      </c>
      <c r="N72" s="981">
        <f>'Table 5C1A-Madison Prep'!N72</f>
        <v>3415</v>
      </c>
      <c r="O72" s="958">
        <f t="shared" ref="O72:O75" si="22">C72*N72</f>
        <v>0</v>
      </c>
      <c r="P72" s="1028">
        <f t="shared" ref="P72:P75" si="23">-(0.25%*O72)</f>
        <v>0</v>
      </c>
      <c r="Q72" s="958">
        <f t="shared" ref="Q72:Q75" si="24">SUM(O72:P72)</f>
        <v>0</v>
      </c>
      <c r="R72" s="958">
        <v>0</v>
      </c>
      <c r="S72" s="958">
        <f t="shared" ref="S72:S75" si="25">SUM(Q72:R72)</f>
        <v>0</v>
      </c>
      <c r="T72" s="958">
        <f t="shared" ref="T72:T75" si="26">S72/12</f>
        <v>0</v>
      </c>
      <c r="U72" s="959">
        <f t="shared" ref="U72:V75" si="27">L72+S72</f>
        <v>0</v>
      </c>
      <c r="V72" s="959">
        <f t="shared" si="27"/>
        <v>0</v>
      </c>
    </row>
    <row r="73" spans="1:22">
      <c r="A73" s="960">
        <v>67</v>
      </c>
      <c r="B73" s="961" t="s">
        <v>32</v>
      </c>
      <c r="C73" s="1081">
        <f>'2-1-13 SIS'!O73</f>
        <v>0</v>
      </c>
      <c r="D73" s="966">
        <f>'Table 3 Levels 1&amp;2'!AL74</f>
        <v>4951.6009932106244</v>
      </c>
      <c r="E73" s="1013">
        <f t="shared" si="15"/>
        <v>0</v>
      </c>
      <c r="F73" s="1013">
        <f>'Table 4 Level 3'!P72</f>
        <v>715.61</v>
      </c>
      <c r="G73" s="1013">
        <f t="shared" si="16"/>
        <v>0</v>
      </c>
      <c r="H73" s="989">
        <f t="shared" si="17"/>
        <v>0</v>
      </c>
      <c r="I73" s="1023">
        <f t="shared" si="18"/>
        <v>0</v>
      </c>
      <c r="J73" s="989">
        <f t="shared" si="19"/>
        <v>0</v>
      </c>
      <c r="K73" s="989">
        <v>0</v>
      </c>
      <c r="L73" s="989">
        <f t="shared" si="20"/>
        <v>0</v>
      </c>
      <c r="M73" s="989">
        <f t="shared" si="21"/>
        <v>0</v>
      </c>
      <c r="N73" s="981">
        <f>'Table 5C1A-Madison Prep'!N73</f>
        <v>5221</v>
      </c>
      <c r="O73" s="983">
        <f t="shared" si="22"/>
        <v>0</v>
      </c>
      <c r="P73" s="1029">
        <f t="shared" si="23"/>
        <v>0</v>
      </c>
      <c r="Q73" s="983">
        <f t="shared" si="24"/>
        <v>0</v>
      </c>
      <c r="R73" s="983">
        <v>0</v>
      </c>
      <c r="S73" s="983">
        <f t="shared" si="25"/>
        <v>0</v>
      </c>
      <c r="T73" s="983">
        <f t="shared" si="26"/>
        <v>0</v>
      </c>
      <c r="U73" s="984">
        <f t="shared" si="27"/>
        <v>0</v>
      </c>
      <c r="V73" s="984">
        <f t="shared" si="27"/>
        <v>0</v>
      </c>
    </row>
    <row r="74" spans="1:22">
      <c r="A74" s="960">
        <v>68</v>
      </c>
      <c r="B74" s="961" t="s">
        <v>30</v>
      </c>
      <c r="C74" s="1081">
        <f>'2-1-13 SIS'!O74</f>
        <v>0</v>
      </c>
      <c r="D74" s="966">
        <f>'Table 3 Levels 1&amp;2'!AL75</f>
        <v>6077.2398733698947</v>
      </c>
      <c r="E74" s="1013">
        <f t="shared" si="15"/>
        <v>0</v>
      </c>
      <c r="F74" s="1013">
        <f>'Table 4 Level 3'!P73</f>
        <v>798.7</v>
      </c>
      <c r="G74" s="1013">
        <f t="shared" si="16"/>
        <v>0</v>
      </c>
      <c r="H74" s="989">
        <f t="shared" si="17"/>
        <v>0</v>
      </c>
      <c r="I74" s="1023">
        <f t="shared" si="18"/>
        <v>0</v>
      </c>
      <c r="J74" s="989">
        <f t="shared" si="19"/>
        <v>0</v>
      </c>
      <c r="K74" s="989">
        <v>0</v>
      </c>
      <c r="L74" s="989">
        <f t="shared" si="20"/>
        <v>0</v>
      </c>
      <c r="M74" s="989">
        <f t="shared" si="21"/>
        <v>0</v>
      </c>
      <c r="N74" s="981">
        <f>'Table 5C1A-Madison Prep'!N74</f>
        <v>2680</v>
      </c>
      <c r="O74" s="983">
        <f t="shared" si="22"/>
        <v>0</v>
      </c>
      <c r="P74" s="1029">
        <f t="shared" si="23"/>
        <v>0</v>
      </c>
      <c r="Q74" s="983">
        <f t="shared" si="24"/>
        <v>0</v>
      </c>
      <c r="R74" s="983">
        <v>0</v>
      </c>
      <c r="S74" s="983">
        <f t="shared" si="25"/>
        <v>0</v>
      </c>
      <c r="T74" s="983">
        <f t="shared" si="26"/>
        <v>0</v>
      </c>
      <c r="U74" s="984">
        <f t="shared" si="27"/>
        <v>0</v>
      </c>
      <c r="V74" s="984">
        <f t="shared" si="27"/>
        <v>0</v>
      </c>
    </row>
    <row r="75" spans="1:22">
      <c r="A75" s="969">
        <v>69</v>
      </c>
      <c r="B75" s="970" t="s">
        <v>208</v>
      </c>
      <c r="C75" s="1084">
        <f>'2-1-13 SIS'!O75</f>
        <v>0</v>
      </c>
      <c r="D75" s="971">
        <f>'Table 3 Levels 1&amp;2'!AL76</f>
        <v>5585.8253106686579</v>
      </c>
      <c r="E75" s="1016">
        <f t="shared" si="15"/>
        <v>0</v>
      </c>
      <c r="F75" s="1016">
        <f>'Table 4 Level 3'!P74</f>
        <v>705.67</v>
      </c>
      <c r="G75" s="1016">
        <f t="shared" si="16"/>
        <v>0</v>
      </c>
      <c r="H75" s="992">
        <f t="shared" si="17"/>
        <v>0</v>
      </c>
      <c r="I75" s="1026">
        <f t="shared" si="18"/>
        <v>0</v>
      </c>
      <c r="J75" s="992">
        <f t="shared" si="19"/>
        <v>0</v>
      </c>
      <c r="K75" s="992">
        <v>0</v>
      </c>
      <c r="L75" s="992">
        <f t="shared" si="20"/>
        <v>0</v>
      </c>
      <c r="M75" s="992">
        <f t="shared" si="21"/>
        <v>0</v>
      </c>
      <c r="N75" s="981">
        <f>'Table 5C1A-Madison Prep'!N75</f>
        <v>3263</v>
      </c>
      <c r="O75" s="993">
        <f t="shared" si="22"/>
        <v>0</v>
      </c>
      <c r="P75" s="1031">
        <f t="shared" si="23"/>
        <v>0</v>
      </c>
      <c r="Q75" s="993">
        <f t="shared" si="24"/>
        <v>0</v>
      </c>
      <c r="R75" s="993">
        <v>0</v>
      </c>
      <c r="S75" s="993">
        <f t="shared" si="25"/>
        <v>0</v>
      </c>
      <c r="T75" s="993">
        <f t="shared" si="26"/>
        <v>0</v>
      </c>
      <c r="U75" s="994">
        <f t="shared" si="27"/>
        <v>0</v>
      </c>
      <c r="V75" s="994">
        <f t="shared" si="27"/>
        <v>0</v>
      </c>
    </row>
    <row r="76" spans="1:22" ht="13.5" thickBot="1">
      <c r="A76" s="972"/>
      <c r="B76" s="973" t="s">
        <v>158</v>
      </c>
      <c r="C76" s="974">
        <f>SUM(C7:C75)</f>
        <v>224</v>
      </c>
      <c r="D76" s="975"/>
      <c r="E76" s="1017">
        <f>SUM(E7:E75)</f>
        <v>755349.14952526544</v>
      </c>
      <c r="F76" s="1017">
        <f>'Table 4 Level 3'!P75</f>
        <v>704.49059912051428</v>
      </c>
      <c r="G76" s="1017">
        <f t="shared" ref="G76:L76" si="28">SUM(G7:G75)</f>
        <v>177604.47041095892</v>
      </c>
      <c r="H76" s="976">
        <f t="shared" si="28"/>
        <v>932953.61993622442</v>
      </c>
      <c r="I76" s="1027">
        <f t="shared" si="28"/>
        <v>-2332.3840498405607</v>
      </c>
      <c r="J76" s="976">
        <f t="shared" si="28"/>
        <v>930621.23588638392</v>
      </c>
      <c r="K76" s="1117">
        <f t="shared" si="28"/>
        <v>3987.1779009796828</v>
      </c>
      <c r="L76" s="976">
        <f t="shared" si="28"/>
        <v>934608.41378736368</v>
      </c>
      <c r="M76" s="976">
        <f>SUM(M7:M75)</f>
        <v>77884.034482280287</v>
      </c>
      <c r="N76" s="995">
        <f>'Table 5C1A-Madison Prep'!N76</f>
        <v>4503</v>
      </c>
      <c r="O76" s="977">
        <f t="shared" ref="O76:V76" si="29">SUM(O7:O75)</f>
        <v>1245136</v>
      </c>
      <c r="P76" s="1032">
        <f t="shared" si="29"/>
        <v>-3112.84</v>
      </c>
      <c r="Q76" s="977">
        <f t="shared" si="29"/>
        <v>1242023.1599999999</v>
      </c>
      <c r="R76" s="1120">
        <f t="shared" si="29"/>
        <v>4648</v>
      </c>
      <c r="S76" s="977">
        <f t="shared" si="29"/>
        <v>1246671.1599999999</v>
      </c>
      <c r="T76" s="977">
        <f t="shared" si="29"/>
        <v>103889.26333333332</v>
      </c>
      <c r="U76" s="978">
        <f t="shared" si="29"/>
        <v>2181279.5737873637</v>
      </c>
      <c r="V76" s="978">
        <f t="shared" si="29"/>
        <v>181773.29781561362</v>
      </c>
    </row>
    <row r="77" spans="1:22" ht="13.5" thickTop="1"/>
  </sheetData>
  <mergeCells count="19">
    <mergeCell ref="A2:B4"/>
    <mergeCell ref="C2:M2"/>
    <mergeCell ref="N2:T2"/>
    <mergeCell ref="U2:U4"/>
    <mergeCell ref="V2:V4"/>
    <mergeCell ref="C3:C4"/>
    <mergeCell ref="D3:D4"/>
    <mergeCell ref="E3:E4"/>
    <mergeCell ref="F3:F4"/>
    <mergeCell ref="G3:G4"/>
    <mergeCell ref="Q3:Q4"/>
    <mergeCell ref="R3:R4"/>
    <mergeCell ref="S3:S4"/>
    <mergeCell ref="H3:H4"/>
    <mergeCell ref="J3:J4"/>
    <mergeCell ref="K3:K4"/>
    <mergeCell ref="L3:L4"/>
    <mergeCell ref="M3:M4"/>
    <mergeCell ref="N3:N4"/>
  </mergeCells>
  <pageMargins left="0.36" right="0.35" top="0.75" bottom="0.75" header="0.3" footer="0.3"/>
  <pageSetup paperSize="5" scale="60" firstPageNumber="56" orientation="portrait" useFirstPageNumber="1" r:id="rId1"/>
  <headerFooter>
    <oddHeader>&amp;L&amp;"Arial,Bold"&amp;20Table 5C1-D: FY2013-14 MFP Budget Letter 
New Orleans Military/Maritime Academy</oddHeader>
    <oddFooter>&amp;R&amp;P</oddFooter>
  </headerFooter>
  <colBreaks count="1" manualBreakCount="1">
    <brk id="13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7"/>
  <sheetViews>
    <sheetView view="pageBreakPreview" zoomScale="90" zoomScaleNormal="100" zoomScaleSheetLayoutView="90" workbookViewId="0">
      <pane xSplit="2" ySplit="6" topLeftCell="K7" activePane="bottomRight" state="frozen"/>
      <selection activeCell="A2" sqref="A2:B4"/>
      <selection pane="topRight" activeCell="A2" sqref="A2:B4"/>
      <selection pane="bottomLeft" activeCell="A2" sqref="A2:B4"/>
      <selection pane="bottomRight" activeCell="W64" sqref="W64"/>
    </sheetView>
  </sheetViews>
  <sheetFormatPr defaultRowHeight="12.75"/>
  <cols>
    <col min="1" max="1" width="4.28515625" customWidth="1"/>
    <col min="2" max="2" width="17.85546875" bestFit="1" customWidth="1"/>
    <col min="3" max="3" width="12.5703125" customWidth="1"/>
    <col min="4" max="4" width="17" customWidth="1"/>
    <col min="5" max="5" width="11.140625" customWidth="1"/>
    <col min="6" max="6" width="12" customWidth="1"/>
    <col min="7" max="7" width="13.28515625" customWidth="1"/>
    <col min="8" max="8" width="14.5703125" customWidth="1"/>
    <col min="9" max="9" width="12.28515625" customWidth="1"/>
    <col min="10" max="10" width="16.28515625" customWidth="1"/>
    <col min="11" max="11" width="13.42578125" bestFit="1" customWidth="1"/>
    <col min="12" max="12" width="14" customWidth="1"/>
    <col min="13" max="13" width="9.85546875" customWidth="1"/>
    <col min="14" max="14" width="11.42578125" customWidth="1"/>
    <col min="15" max="15" width="17.42578125" customWidth="1"/>
    <col min="16" max="16" width="14.42578125" bestFit="1" customWidth="1"/>
    <col min="17" max="17" width="10.140625" bestFit="1" customWidth="1"/>
    <col min="18" max="18" width="10.85546875" bestFit="1" customWidth="1"/>
    <col min="19" max="19" width="12" bestFit="1" customWidth="1"/>
    <col min="20" max="20" width="12.42578125" bestFit="1" customWidth="1"/>
    <col min="21" max="21" width="13.28515625" customWidth="1"/>
    <col min="22" max="22" width="10.140625" customWidth="1"/>
    <col min="23" max="23" width="11.140625" customWidth="1"/>
    <col min="24" max="24" width="10.5703125" customWidth="1"/>
  </cols>
  <sheetData>
    <row r="1" spans="1:24"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35"/>
      <c r="O1" s="35"/>
    </row>
    <row r="2" spans="1:24" ht="45" customHeight="1">
      <c r="A2" s="1711" t="s">
        <v>509</v>
      </c>
      <c r="B2" s="1712"/>
      <c r="C2" s="1735" t="s">
        <v>500</v>
      </c>
      <c r="D2" s="1736"/>
      <c r="E2" s="1736"/>
      <c r="F2" s="1736"/>
      <c r="G2" s="1736"/>
      <c r="H2" s="1736"/>
      <c r="I2" s="1737"/>
      <c r="J2" s="1737"/>
      <c r="K2" s="1737"/>
      <c r="L2" s="1737"/>
      <c r="M2" s="1737"/>
      <c r="N2" s="1737"/>
      <c r="O2" s="1738"/>
      <c r="P2" s="1700" t="s">
        <v>656</v>
      </c>
      <c r="Q2" s="1701"/>
      <c r="R2" s="1701"/>
      <c r="S2" s="1701"/>
      <c r="T2" s="1701"/>
      <c r="U2" s="1701"/>
      <c r="V2" s="1702"/>
      <c r="W2" s="1739" t="s">
        <v>683</v>
      </c>
      <c r="X2" s="1739" t="s">
        <v>654</v>
      </c>
    </row>
    <row r="3" spans="1:24" ht="117" customHeight="1">
      <c r="A3" s="1713"/>
      <c r="B3" s="1714"/>
      <c r="C3" s="1706" t="s">
        <v>588</v>
      </c>
      <c r="D3" s="1717" t="s">
        <v>744</v>
      </c>
      <c r="E3" s="1717" t="s">
        <v>674</v>
      </c>
      <c r="F3" s="1706" t="s">
        <v>501</v>
      </c>
      <c r="G3" s="1706" t="s">
        <v>445</v>
      </c>
      <c r="H3" s="1706" t="s">
        <v>675</v>
      </c>
      <c r="I3" s="1104" t="s">
        <v>456</v>
      </c>
      <c r="J3" s="1706" t="s">
        <v>676</v>
      </c>
      <c r="K3" s="1706" t="s">
        <v>967</v>
      </c>
      <c r="L3" s="1706" t="s">
        <v>677</v>
      </c>
      <c r="M3" s="1717" t="s">
        <v>655</v>
      </c>
      <c r="N3" s="1741" t="s">
        <v>980</v>
      </c>
      <c r="O3" s="1706" t="s">
        <v>936</v>
      </c>
      <c r="P3" s="1709" t="s">
        <v>527</v>
      </c>
      <c r="Q3" s="1278" t="s">
        <v>678</v>
      </c>
      <c r="R3" s="1106" t="s">
        <v>457</v>
      </c>
      <c r="S3" s="1709" t="s">
        <v>679</v>
      </c>
      <c r="T3" s="1709" t="s">
        <v>967</v>
      </c>
      <c r="U3" s="1709" t="s">
        <v>685</v>
      </c>
      <c r="V3" s="1278" t="s">
        <v>681</v>
      </c>
      <c r="W3" s="1740"/>
      <c r="X3" s="1740"/>
    </row>
    <row r="4" spans="1:24" ht="22.5" customHeight="1">
      <c r="A4" s="1715"/>
      <c r="B4" s="1716"/>
      <c r="C4" s="1707"/>
      <c r="D4" s="1717"/>
      <c r="E4" s="1717"/>
      <c r="F4" s="1707"/>
      <c r="G4" s="1707"/>
      <c r="H4" s="1707"/>
      <c r="I4" s="1018">
        <v>2.5000000000000001E-3</v>
      </c>
      <c r="J4" s="1707"/>
      <c r="K4" s="1707"/>
      <c r="L4" s="1707"/>
      <c r="M4" s="1717"/>
      <c r="N4" s="1589"/>
      <c r="O4" s="1707"/>
      <c r="P4" s="1710"/>
      <c r="Q4" s="1105"/>
      <c r="R4" s="1019">
        <v>2.5000000000000001E-3</v>
      </c>
      <c r="S4" s="1710"/>
      <c r="T4" s="1710"/>
      <c r="U4" s="1710"/>
      <c r="V4" s="1105"/>
      <c r="W4" s="1705"/>
      <c r="X4" s="1705"/>
    </row>
    <row r="5" spans="1:24" ht="14.25" customHeight="1">
      <c r="A5" s="950"/>
      <c r="B5" s="951"/>
      <c r="C5" s="952">
        <v>1</v>
      </c>
      <c r="D5" s="952">
        <f t="shared" ref="D5" si="0">C5+1</f>
        <v>2</v>
      </c>
      <c r="E5" s="952">
        <f>D5+1</f>
        <v>3</v>
      </c>
      <c r="F5" s="952">
        <f t="shared" ref="F5:M5" si="1">E5+1</f>
        <v>4</v>
      </c>
      <c r="G5" s="952">
        <f t="shared" si="1"/>
        <v>5</v>
      </c>
      <c r="H5" s="952">
        <f t="shared" si="1"/>
        <v>6</v>
      </c>
      <c r="I5" s="952">
        <f t="shared" si="1"/>
        <v>7</v>
      </c>
      <c r="J5" s="952">
        <f t="shared" si="1"/>
        <v>8</v>
      </c>
      <c r="K5" s="952">
        <f t="shared" si="1"/>
        <v>9</v>
      </c>
      <c r="L5" s="952">
        <f t="shared" si="1"/>
        <v>10</v>
      </c>
      <c r="M5" s="952">
        <f t="shared" si="1"/>
        <v>11</v>
      </c>
      <c r="N5" s="952">
        <f t="shared" ref="N5" si="2">M5+1</f>
        <v>12</v>
      </c>
      <c r="O5" s="952">
        <f>N5+1</f>
        <v>13</v>
      </c>
      <c r="P5" s="952">
        <f t="shared" ref="P5" si="3">O5+1</f>
        <v>14</v>
      </c>
      <c r="Q5" s="952">
        <f t="shared" ref="Q5" si="4">P5+1</f>
        <v>15</v>
      </c>
      <c r="R5" s="952">
        <f t="shared" ref="R5" si="5">Q5+1</f>
        <v>16</v>
      </c>
      <c r="S5" s="952">
        <f t="shared" ref="S5" si="6">R5+1</f>
        <v>17</v>
      </c>
      <c r="T5" s="952">
        <f t="shared" ref="T5" si="7">S5+1</f>
        <v>18</v>
      </c>
      <c r="U5" s="952">
        <f t="shared" ref="U5" si="8">T5+1</f>
        <v>19</v>
      </c>
      <c r="V5" s="952">
        <f t="shared" ref="V5" si="9">U5+1</f>
        <v>20</v>
      </c>
      <c r="W5" s="952">
        <f t="shared" ref="W5" si="10">V5+1</f>
        <v>21</v>
      </c>
      <c r="X5" s="952">
        <f t="shared" ref="X5" si="11">W5+1</f>
        <v>22</v>
      </c>
    </row>
    <row r="6" spans="1:24" ht="27" customHeight="1">
      <c r="A6" s="979"/>
      <c r="B6" s="980"/>
      <c r="C6" s="980"/>
      <c r="D6" s="980"/>
      <c r="E6" s="980"/>
      <c r="F6" s="980"/>
      <c r="G6" s="980"/>
      <c r="H6" s="980"/>
      <c r="I6" s="980"/>
      <c r="J6" s="980"/>
      <c r="K6" s="980"/>
      <c r="L6" s="980"/>
      <c r="M6" s="980"/>
      <c r="N6" s="1274"/>
      <c r="O6" s="1274"/>
      <c r="P6" s="980"/>
      <c r="Q6" s="980"/>
      <c r="R6" s="980"/>
      <c r="S6" s="980"/>
      <c r="T6" s="980"/>
      <c r="U6" s="980"/>
      <c r="V6" s="980"/>
      <c r="W6" s="980"/>
      <c r="X6" s="980"/>
    </row>
    <row r="7" spans="1:24">
      <c r="A7" s="953">
        <v>1</v>
      </c>
      <c r="B7" s="954" t="s">
        <v>93</v>
      </c>
      <c r="C7" s="955">
        <f>'2-1-13 SIS'!N7</f>
        <v>0</v>
      </c>
      <c r="D7" s="956">
        <f>'Table 3 Levels 1&amp;2'!AL8</f>
        <v>4597.5882673899441</v>
      </c>
      <c r="E7" s="1010">
        <f>C7*D7</f>
        <v>0</v>
      </c>
      <c r="F7" s="1010">
        <f>'Table 4 Level 3'!P6</f>
        <v>777.48</v>
      </c>
      <c r="G7" s="1010">
        <f>C7*F7</f>
        <v>0</v>
      </c>
      <c r="H7" s="957">
        <f>E7+G7</f>
        <v>0</v>
      </c>
      <c r="I7" s="1020">
        <f>-(0.25%*H7)</f>
        <v>0</v>
      </c>
      <c r="J7" s="957">
        <f>SUM(H7:I7)</f>
        <v>0</v>
      </c>
      <c r="K7" s="957">
        <v>0</v>
      </c>
      <c r="L7" s="957">
        <f>SUM(J7:K7)</f>
        <v>0</v>
      </c>
      <c r="M7" s="957">
        <f>L7/12</f>
        <v>0</v>
      </c>
      <c r="N7" s="1000"/>
      <c r="O7" s="957">
        <f t="shared" ref="O7:O38" si="12">L7+N7</f>
        <v>0</v>
      </c>
      <c r="P7" s="981">
        <f>'Table 5C1A-Madison Prep'!N7</f>
        <v>2168</v>
      </c>
      <c r="Q7" s="958">
        <f t="shared" ref="Q7:Q38" si="13">C7*P7</f>
        <v>0</v>
      </c>
      <c r="R7" s="1028">
        <f>-(0.25%*Q7)</f>
        <v>0</v>
      </c>
      <c r="S7" s="958">
        <f>SUM(Q7:R7)</f>
        <v>0</v>
      </c>
      <c r="T7" s="958">
        <v>0</v>
      </c>
      <c r="U7" s="958">
        <f>SUM(S7:T7)</f>
        <v>0</v>
      </c>
      <c r="V7" s="958">
        <f>U7/12</f>
        <v>0</v>
      </c>
      <c r="W7" s="959">
        <f>O7+U7</f>
        <v>0</v>
      </c>
      <c r="X7" s="959">
        <f t="shared" ref="X7:X38" si="14">M7+V7</f>
        <v>0</v>
      </c>
    </row>
    <row r="8" spans="1:24">
      <c r="A8" s="960">
        <v>2</v>
      </c>
      <c r="B8" s="961" t="s">
        <v>94</v>
      </c>
      <c r="C8" s="1078">
        <f>'2-1-13 SIS'!N8</f>
        <v>0</v>
      </c>
      <c r="D8" s="962">
        <f>'Table 3 Levels 1&amp;2'!AL9</f>
        <v>6182.4313545138375</v>
      </c>
      <c r="E8" s="1011">
        <f t="shared" ref="E8:E71" si="15">C8*D8</f>
        <v>0</v>
      </c>
      <c r="F8" s="1011">
        <f>'Table 4 Level 3'!P7</f>
        <v>842.32</v>
      </c>
      <c r="G8" s="1011">
        <f t="shared" ref="G8:G71" si="16">C8*F8</f>
        <v>0</v>
      </c>
      <c r="H8" s="982">
        <f t="shared" ref="H8:H71" si="17">E8+G8</f>
        <v>0</v>
      </c>
      <c r="I8" s="1021">
        <f t="shared" ref="I8:I71" si="18">-(0.25%*H8)</f>
        <v>0</v>
      </c>
      <c r="J8" s="982">
        <f t="shared" ref="J8:J71" si="19">SUM(H8:I8)</f>
        <v>0</v>
      </c>
      <c r="K8" s="982">
        <v>0</v>
      </c>
      <c r="L8" s="982">
        <f t="shared" ref="L8:L71" si="20">SUM(J8:K8)</f>
        <v>0</v>
      </c>
      <c r="M8" s="982">
        <f t="shared" ref="M8:M71" si="21">L8/12</f>
        <v>0</v>
      </c>
      <c r="N8" s="1001"/>
      <c r="O8" s="982">
        <f t="shared" si="12"/>
        <v>0</v>
      </c>
      <c r="P8" s="981">
        <f>'Table 5C1A-Madison Prep'!N8</f>
        <v>2627</v>
      </c>
      <c r="Q8" s="983">
        <f t="shared" si="13"/>
        <v>0</v>
      </c>
      <c r="R8" s="1029">
        <f t="shared" ref="R8:R71" si="22">-(0.25%*Q8)</f>
        <v>0</v>
      </c>
      <c r="S8" s="983">
        <f t="shared" ref="S8:S71" si="23">SUM(Q8:R8)</f>
        <v>0</v>
      </c>
      <c r="T8" s="983">
        <v>0</v>
      </c>
      <c r="U8" s="983">
        <f t="shared" ref="U8:U71" si="24">SUM(S8:T8)</f>
        <v>0</v>
      </c>
      <c r="V8" s="983">
        <f t="shared" ref="V8:V71" si="25">U8/12</f>
        <v>0</v>
      </c>
      <c r="W8" s="984">
        <f t="shared" ref="W8:W71" si="26">O8+U8</f>
        <v>0</v>
      </c>
      <c r="X8" s="984">
        <f t="shared" si="14"/>
        <v>0</v>
      </c>
    </row>
    <row r="9" spans="1:24">
      <c r="A9" s="960">
        <v>3</v>
      </c>
      <c r="B9" s="961" t="s">
        <v>95</v>
      </c>
      <c r="C9" s="1078">
        <f>'2-1-13 SIS'!N9</f>
        <v>0</v>
      </c>
      <c r="D9" s="962">
        <f>'Table 3 Levels 1&amp;2'!AL10</f>
        <v>4206.710737685361</v>
      </c>
      <c r="E9" s="1011">
        <f t="shared" si="15"/>
        <v>0</v>
      </c>
      <c r="F9" s="1011">
        <f>'Table 4 Level 3'!P8</f>
        <v>596.84</v>
      </c>
      <c r="G9" s="1011">
        <f t="shared" si="16"/>
        <v>0</v>
      </c>
      <c r="H9" s="982">
        <f t="shared" si="17"/>
        <v>0</v>
      </c>
      <c r="I9" s="1021">
        <f t="shared" si="18"/>
        <v>0</v>
      </c>
      <c r="J9" s="982">
        <f t="shared" si="19"/>
        <v>0</v>
      </c>
      <c r="K9" s="982">
        <v>0</v>
      </c>
      <c r="L9" s="982">
        <f t="shared" si="20"/>
        <v>0</v>
      </c>
      <c r="M9" s="982">
        <f t="shared" si="21"/>
        <v>0</v>
      </c>
      <c r="N9" s="1001"/>
      <c r="O9" s="982">
        <f t="shared" si="12"/>
        <v>0</v>
      </c>
      <c r="P9" s="981">
        <f>'Table 5C1A-Madison Prep'!N9</f>
        <v>5431</v>
      </c>
      <c r="Q9" s="983">
        <f t="shared" si="13"/>
        <v>0</v>
      </c>
      <c r="R9" s="1029">
        <f t="shared" si="22"/>
        <v>0</v>
      </c>
      <c r="S9" s="983">
        <f t="shared" si="23"/>
        <v>0</v>
      </c>
      <c r="T9" s="983">
        <v>0</v>
      </c>
      <c r="U9" s="983">
        <f t="shared" si="24"/>
        <v>0</v>
      </c>
      <c r="V9" s="983">
        <f t="shared" si="25"/>
        <v>0</v>
      </c>
      <c r="W9" s="984">
        <f t="shared" si="26"/>
        <v>0</v>
      </c>
      <c r="X9" s="984">
        <f t="shared" si="14"/>
        <v>0</v>
      </c>
    </row>
    <row r="10" spans="1:24">
      <c r="A10" s="960">
        <v>4</v>
      </c>
      <c r="B10" s="961" t="s">
        <v>96</v>
      </c>
      <c r="C10" s="1078">
        <f>'2-1-13 SIS'!N10</f>
        <v>0</v>
      </c>
      <c r="D10" s="962">
        <f>'Table 3 Levels 1&amp;2'!AL11</f>
        <v>5987.4993535453223</v>
      </c>
      <c r="E10" s="1011">
        <f t="shared" si="15"/>
        <v>0</v>
      </c>
      <c r="F10" s="1011">
        <f>'Table 4 Level 3'!P9</f>
        <v>585.76</v>
      </c>
      <c r="G10" s="1011">
        <f t="shared" si="16"/>
        <v>0</v>
      </c>
      <c r="H10" s="982">
        <f t="shared" si="17"/>
        <v>0</v>
      </c>
      <c r="I10" s="1021">
        <f t="shared" si="18"/>
        <v>0</v>
      </c>
      <c r="J10" s="982">
        <f t="shared" si="19"/>
        <v>0</v>
      </c>
      <c r="K10" s="982">
        <v>0</v>
      </c>
      <c r="L10" s="982">
        <f t="shared" si="20"/>
        <v>0</v>
      </c>
      <c r="M10" s="982">
        <f t="shared" si="21"/>
        <v>0</v>
      </c>
      <c r="N10" s="1001"/>
      <c r="O10" s="982">
        <f t="shared" si="12"/>
        <v>0</v>
      </c>
      <c r="P10" s="981">
        <f>'Table 5C1A-Madison Prep'!N10</f>
        <v>3029</v>
      </c>
      <c r="Q10" s="983">
        <f t="shared" si="13"/>
        <v>0</v>
      </c>
      <c r="R10" s="1029">
        <f t="shared" si="22"/>
        <v>0</v>
      </c>
      <c r="S10" s="983">
        <f t="shared" si="23"/>
        <v>0</v>
      </c>
      <c r="T10" s="983">
        <v>0</v>
      </c>
      <c r="U10" s="983">
        <f t="shared" si="24"/>
        <v>0</v>
      </c>
      <c r="V10" s="983">
        <f t="shared" si="25"/>
        <v>0</v>
      </c>
      <c r="W10" s="984">
        <f t="shared" si="26"/>
        <v>0</v>
      </c>
      <c r="X10" s="984">
        <f t="shared" si="14"/>
        <v>0</v>
      </c>
    </row>
    <row r="11" spans="1:24">
      <c r="A11" s="963">
        <v>5</v>
      </c>
      <c r="B11" s="964" t="s">
        <v>97</v>
      </c>
      <c r="C11" s="1079">
        <f>'2-1-13 SIS'!N11</f>
        <v>0</v>
      </c>
      <c r="D11" s="965">
        <f>'Table 3 Levels 1&amp;2'!AL12</f>
        <v>4986.8166927080074</v>
      </c>
      <c r="E11" s="1012">
        <f t="shared" si="15"/>
        <v>0</v>
      </c>
      <c r="F11" s="1012">
        <f>'Table 4 Level 3'!P10</f>
        <v>555.91</v>
      </c>
      <c r="G11" s="1012">
        <f t="shared" si="16"/>
        <v>0</v>
      </c>
      <c r="H11" s="985">
        <f t="shared" si="17"/>
        <v>0</v>
      </c>
      <c r="I11" s="1022">
        <f t="shared" si="18"/>
        <v>0</v>
      </c>
      <c r="J11" s="985">
        <f t="shared" si="19"/>
        <v>0</v>
      </c>
      <c r="K11" s="985">
        <v>0</v>
      </c>
      <c r="L11" s="985">
        <f t="shared" si="20"/>
        <v>0</v>
      </c>
      <c r="M11" s="985">
        <f t="shared" si="21"/>
        <v>0</v>
      </c>
      <c r="N11" s="1002"/>
      <c r="O11" s="985">
        <f t="shared" si="12"/>
        <v>0</v>
      </c>
      <c r="P11" s="986">
        <f>'Table 5C1A-Madison Prep'!N11</f>
        <v>1751</v>
      </c>
      <c r="Q11" s="987">
        <f t="shared" si="13"/>
        <v>0</v>
      </c>
      <c r="R11" s="1030">
        <f t="shared" si="22"/>
        <v>0</v>
      </c>
      <c r="S11" s="987">
        <f t="shared" si="23"/>
        <v>0</v>
      </c>
      <c r="T11" s="987">
        <v>0</v>
      </c>
      <c r="U11" s="987">
        <f t="shared" si="24"/>
        <v>0</v>
      </c>
      <c r="V11" s="987">
        <f t="shared" si="25"/>
        <v>0</v>
      </c>
      <c r="W11" s="988">
        <f t="shared" si="26"/>
        <v>0</v>
      </c>
      <c r="X11" s="988">
        <f t="shared" si="14"/>
        <v>0</v>
      </c>
    </row>
    <row r="12" spans="1:24">
      <c r="A12" s="953">
        <v>6</v>
      </c>
      <c r="B12" s="954" t="s">
        <v>98</v>
      </c>
      <c r="C12" s="1080">
        <f>'2-1-13 SIS'!N12</f>
        <v>0</v>
      </c>
      <c r="D12" s="956">
        <f>'Table 3 Levels 1&amp;2'!AL13</f>
        <v>5412.7883404260592</v>
      </c>
      <c r="E12" s="1010">
        <f t="shared" si="15"/>
        <v>0</v>
      </c>
      <c r="F12" s="1010">
        <f>'Table 4 Level 3'!P11</f>
        <v>545.4799999999999</v>
      </c>
      <c r="G12" s="1010">
        <f t="shared" si="16"/>
        <v>0</v>
      </c>
      <c r="H12" s="957">
        <f t="shared" si="17"/>
        <v>0</v>
      </c>
      <c r="I12" s="1020">
        <f t="shared" si="18"/>
        <v>0</v>
      </c>
      <c r="J12" s="957">
        <f t="shared" si="19"/>
        <v>0</v>
      </c>
      <c r="K12" s="957">
        <v>0</v>
      </c>
      <c r="L12" s="957">
        <f t="shared" si="20"/>
        <v>0</v>
      </c>
      <c r="M12" s="957">
        <f t="shared" si="21"/>
        <v>0</v>
      </c>
      <c r="N12" s="1000"/>
      <c r="O12" s="957">
        <f t="shared" si="12"/>
        <v>0</v>
      </c>
      <c r="P12" s="981">
        <f>'Table 5C1A-Madison Prep'!N12</f>
        <v>3735</v>
      </c>
      <c r="Q12" s="958">
        <f t="shared" si="13"/>
        <v>0</v>
      </c>
      <c r="R12" s="1028">
        <f t="shared" si="22"/>
        <v>0</v>
      </c>
      <c r="S12" s="958">
        <f t="shared" si="23"/>
        <v>0</v>
      </c>
      <c r="T12" s="958">
        <v>0</v>
      </c>
      <c r="U12" s="958">
        <f t="shared" si="24"/>
        <v>0</v>
      </c>
      <c r="V12" s="958">
        <f t="shared" si="25"/>
        <v>0</v>
      </c>
      <c r="W12" s="959">
        <f t="shared" si="26"/>
        <v>0</v>
      </c>
      <c r="X12" s="959">
        <f t="shared" si="14"/>
        <v>0</v>
      </c>
    </row>
    <row r="13" spans="1:24">
      <c r="A13" s="960">
        <v>7</v>
      </c>
      <c r="B13" s="961" t="s">
        <v>99</v>
      </c>
      <c r="C13" s="1078">
        <f>'2-1-13 SIS'!N13</f>
        <v>0</v>
      </c>
      <c r="D13" s="962">
        <f>'Table 3 Levels 1&amp;2'!AL14</f>
        <v>1766.1023604176123</v>
      </c>
      <c r="E13" s="1011">
        <f t="shared" si="15"/>
        <v>0</v>
      </c>
      <c r="F13" s="1011">
        <f>'Table 4 Level 3'!P12</f>
        <v>756.91999999999985</v>
      </c>
      <c r="G13" s="1011">
        <f t="shared" si="16"/>
        <v>0</v>
      </c>
      <c r="H13" s="982">
        <f t="shared" si="17"/>
        <v>0</v>
      </c>
      <c r="I13" s="1021">
        <f t="shared" si="18"/>
        <v>0</v>
      </c>
      <c r="J13" s="982">
        <f t="shared" si="19"/>
        <v>0</v>
      </c>
      <c r="K13" s="982">
        <v>0</v>
      </c>
      <c r="L13" s="982">
        <f t="shared" si="20"/>
        <v>0</v>
      </c>
      <c r="M13" s="982">
        <f t="shared" si="21"/>
        <v>0</v>
      </c>
      <c r="N13" s="1001"/>
      <c r="O13" s="982">
        <f t="shared" si="12"/>
        <v>0</v>
      </c>
      <c r="P13" s="981">
        <f>'Table 5C1A-Madison Prep'!N13</f>
        <v>11329</v>
      </c>
      <c r="Q13" s="983">
        <f t="shared" si="13"/>
        <v>0</v>
      </c>
      <c r="R13" s="1029">
        <f t="shared" si="22"/>
        <v>0</v>
      </c>
      <c r="S13" s="983">
        <f t="shared" si="23"/>
        <v>0</v>
      </c>
      <c r="T13" s="983">
        <v>0</v>
      </c>
      <c r="U13" s="983">
        <f t="shared" si="24"/>
        <v>0</v>
      </c>
      <c r="V13" s="983">
        <f t="shared" si="25"/>
        <v>0</v>
      </c>
      <c r="W13" s="984">
        <f t="shared" si="26"/>
        <v>0</v>
      </c>
      <c r="X13" s="984">
        <f t="shared" si="14"/>
        <v>0</v>
      </c>
    </row>
    <row r="14" spans="1:24">
      <c r="A14" s="960">
        <v>8</v>
      </c>
      <c r="B14" s="961" t="s">
        <v>100</v>
      </c>
      <c r="C14" s="1078">
        <f>'2-1-13 SIS'!N14</f>
        <v>0</v>
      </c>
      <c r="D14" s="962">
        <f>'Table 3 Levels 1&amp;2'!AL15</f>
        <v>4289.5073606712331</v>
      </c>
      <c r="E14" s="1011">
        <f t="shared" si="15"/>
        <v>0</v>
      </c>
      <c r="F14" s="1011">
        <f>'Table 4 Level 3'!P13</f>
        <v>725.76</v>
      </c>
      <c r="G14" s="1011">
        <f t="shared" si="16"/>
        <v>0</v>
      </c>
      <c r="H14" s="982">
        <f t="shared" si="17"/>
        <v>0</v>
      </c>
      <c r="I14" s="1021">
        <f t="shared" si="18"/>
        <v>0</v>
      </c>
      <c r="J14" s="982">
        <f t="shared" si="19"/>
        <v>0</v>
      </c>
      <c r="K14" s="982">
        <v>0</v>
      </c>
      <c r="L14" s="982">
        <f t="shared" si="20"/>
        <v>0</v>
      </c>
      <c r="M14" s="982">
        <f t="shared" si="21"/>
        <v>0</v>
      </c>
      <c r="N14" s="1001"/>
      <c r="O14" s="982">
        <f t="shared" si="12"/>
        <v>0</v>
      </c>
      <c r="P14" s="981">
        <f>'Table 5C1A-Madison Prep'!N14</f>
        <v>3915</v>
      </c>
      <c r="Q14" s="983">
        <f t="shared" si="13"/>
        <v>0</v>
      </c>
      <c r="R14" s="1029">
        <f t="shared" si="22"/>
        <v>0</v>
      </c>
      <c r="S14" s="983">
        <f t="shared" si="23"/>
        <v>0</v>
      </c>
      <c r="T14" s="983">
        <v>0</v>
      </c>
      <c r="U14" s="983">
        <f t="shared" si="24"/>
        <v>0</v>
      </c>
      <c r="V14" s="983">
        <f t="shared" si="25"/>
        <v>0</v>
      </c>
      <c r="W14" s="984">
        <f t="shared" si="26"/>
        <v>0</v>
      </c>
      <c r="X14" s="984">
        <f t="shared" si="14"/>
        <v>0</v>
      </c>
    </row>
    <row r="15" spans="1:24">
      <c r="A15" s="960">
        <v>9</v>
      </c>
      <c r="B15" s="961" t="s">
        <v>101</v>
      </c>
      <c r="C15" s="1078">
        <f>'2-1-13 SIS'!N15</f>
        <v>0</v>
      </c>
      <c r="D15" s="962">
        <f>'Table 3 Levels 1&amp;2'!AL16</f>
        <v>4395.6154516889328</v>
      </c>
      <c r="E15" s="1011">
        <f t="shared" si="15"/>
        <v>0</v>
      </c>
      <c r="F15" s="1011">
        <f>'Table 4 Level 3'!P14</f>
        <v>744.76</v>
      </c>
      <c r="G15" s="1011">
        <f t="shared" si="16"/>
        <v>0</v>
      </c>
      <c r="H15" s="982">
        <f t="shared" si="17"/>
        <v>0</v>
      </c>
      <c r="I15" s="1021">
        <f t="shared" si="18"/>
        <v>0</v>
      </c>
      <c r="J15" s="982">
        <f t="shared" si="19"/>
        <v>0</v>
      </c>
      <c r="K15" s="982">
        <v>0</v>
      </c>
      <c r="L15" s="982">
        <f t="shared" si="20"/>
        <v>0</v>
      </c>
      <c r="M15" s="982">
        <f t="shared" si="21"/>
        <v>0</v>
      </c>
      <c r="N15" s="1001"/>
      <c r="O15" s="982">
        <f t="shared" si="12"/>
        <v>0</v>
      </c>
      <c r="P15" s="981">
        <f>'Table 5C1A-Madison Prep'!N15</f>
        <v>4627</v>
      </c>
      <c r="Q15" s="983">
        <f t="shared" si="13"/>
        <v>0</v>
      </c>
      <c r="R15" s="1029">
        <f t="shared" si="22"/>
        <v>0</v>
      </c>
      <c r="S15" s="983">
        <f t="shared" si="23"/>
        <v>0</v>
      </c>
      <c r="T15" s="983">
        <v>0</v>
      </c>
      <c r="U15" s="983">
        <f t="shared" si="24"/>
        <v>0</v>
      </c>
      <c r="V15" s="983">
        <f t="shared" si="25"/>
        <v>0</v>
      </c>
      <c r="W15" s="984">
        <f t="shared" si="26"/>
        <v>0</v>
      </c>
      <c r="X15" s="984">
        <f t="shared" si="14"/>
        <v>0</v>
      </c>
    </row>
    <row r="16" spans="1:24">
      <c r="A16" s="963">
        <v>10</v>
      </c>
      <c r="B16" s="964" t="s">
        <v>102</v>
      </c>
      <c r="C16" s="1079">
        <f>'2-1-13 SIS'!N16</f>
        <v>0</v>
      </c>
      <c r="D16" s="965">
        <f>'Table 3 Levels 1&amp;2'!AL17</f>
        <v>4253.5980618992444</v>
      </c>
      <c r="E16" s="1012">
        <f t="shared" si="15"/>
        <v>0</v>
      </c>
      <c r="F16" s="1012">
        <f>'Table 4 Level 3'!P15</f>
        <v>608.04000000000008</v>
      </c>
      <c r="G16" s="1012">
        <f t="shared" si="16"/>
        <v>0</v>
      </c>
      <c r="H16" s="985">
        <f t="shared" si="17"/>
        <v>0</v>
      </c>
      <c r="I16" s="1022">
        <f t="shared" si="18"/>
        <v>0</v>
      </c>
      <c r="J16" s="985">
        <f t="shared" si="19"/>
        <v>0</v>
      </c>
      <c r="K16" s="985">
        <v>0</v>
      </c>
      <c r="L16" s="985">
        <f t="shared" si="20"/>
        <v>0</v>
      </c>
      <c r="M16" s="985">
        <f t="shared" si="21"/>
        <v>0</v>
      </c>
      <c r="N16" s="1002"/>
      <c r="O16" s="985">
        <f t="shared" si="12"/>
        <v>0</v>
      </c>
      <c r="P16" s="986">
        <f>'Table 5C1A-Madison Prep'!N16</f>
        <v>4489</v>
      </c>
      <c r="Q16" s="987">
        <f t="shared" si="13"/>
        <v>0</v>
      </c>
      <c r="R16" s="1030">
        <f t="shared" si="22"/>
        <v>0</v>
      </c>
      <c r="S16" s="987">
        <f t="shared" si="23"/>
        <v>0</v>
      </c>
      <c r="T16" s="987">
        <v>0</v>
      </c>
      <c r="U16" s="987">
        <f t="shared" si="24"/>
        <v>0</v>
      </c>
      <c r="V16" s="987">
        <f t="shared" si="25"/>
        <v>0</v>
      </c>
      <c r="W16" s="988">
        <f t="shared" si="26"/>
        <v>0</v>
      </c>
      <c r="X16" s="988">
        <f t="shared" si="14"/>
        <v>0</v>
      </c>
    </row>
    <row r="17" spans="1:24">
      <c r="A17" s="953">
        <v>11</v>
      </c>
      <c r="B17" s="954" t="s">
        <v>103</v>
      </c>
      <c r="C17" s="1080">
        <f>'2-1-13 SIS'!N17</f>
        <v>0</v>
      </c>
      <c r="D17" s="956">
        <f>'Table 3 Levels 1&amp;2'!AL18</f>
        <v>6852.9138435383502</v>
      </c>
      <c r="E17" s="1010">
        <f t="shared" si="15"/>
        <v>0</v>
      </c>
      <c r="F17" s="1010">
        <f>'Table 4 Level 3'!P16</f>
        <v>706.55</v>
      </c>
      <c r="G17" s="1010">
        <f t="shared" si="16"/>
        <v>0</v>
      </c>
      <c r="H17" s="957">
        <f t="shared" si="17"/>
        <v>0</v>
      </c>
      <c r="I17" s="1020">
        <f t="shared" si="18"/>
        <v>0</v>
      </c>
      <c r="J17" s="957">
        <f t="shared" si="19"/>
        <v>0</v>
      </c>
      <c r="K17" s="957">
        <v>0</v>
      </c>
      <c r="L17" s="957">
        <f t="shared" si="20"/>
        <v>0</v>
      </c>
      <c r="M17" s="957">
        <f t="shared" si="21"/>
        <v>0</v>
      </c>
      <c r="N17" s="1000"/>
      <c r="O17" s="957">
        <f t="shared" si="12"/>
        <v>0</v>
      </c>
      <c r="P17" s="981">
        <f>'Table 5C1A-Madison Prep'!N17</f>
        <v>3654</v>
      </c>
      <c r="Q17" s="958">
        <f t="shared" si="13"/>
        <v>0</v>
      </c>
      <c r="R17" s="1028">
        <f t="shared" si="22"/>
        <v>0</v>
      </c>
      <c r="S17" s="958">
        <f t="shared" si="23"/>
        <v>0</v>
      </c>
      <c r="T17" s="958">
        <v>0</v>
      </c>
      <c r="U17" s="958">
        <f t="shared" si="24"/>
        <v>0</v>
      </c>
      <c r="V17" s="958">
        <f t="shared" si="25"/>
        <v>0</v>
      </c>
      <c r="W17" s="959">
        <f t="shared" si="26"/>
        <v>0</v>
      </c>
      <c r="X17" s="959">
        <f t="shared" si="14"/>
        <v>0</v>
      </c>
    </row>
    <row r="18" spans="1:24">
      <c r="A18" s="960">
        <v>12</v>
      </c>
      <c r="B18" s="961" t="s">
        <v>104</v>
      </c>
      <c r="C18" s="1078">
        <f>'2-1-13 SIS'!N18</f>
        <v>0</v>
      </c>
      <c r="D18" s="962">
        <f>'Table 3 Levels 1&amp;2'!AL19</f>
        <v>1733.9056059356967</v>
      </c>
      <c r="E18" s="1011">
        <f t="shared" si="15"/>
        <v>0</v>
      </c>
      <c r="F18" s="1011">
        <f>'Table 4 Level 3'!P17</f>
        <v>1063.31</v>
      </c>
      <c r="G18" s="1011">
        <f t="shared" si="16"/>
        <v>0</v>
      </c>
      <c r="H18" s="982">
        <f t="shared" si="17"/>
        <v>0</v>
      </c>
      <c r="I18" s="1021">
        <f t="shared" si="18"/>
        <v>0</v>
      </c>
      <c r="J18" s="982">
        <f t="shared" si="19"/>
        <v>0</v>
      </c>
      <c r="K18" s="982">
        <v>0</v>
      </c>
      <c r="L18" s="982">
        <f t="shared" si="20"/>
        <v>0</v>
      </c>
      <c r="M18" s="982">
        <f t="shared" si="21"/>
        <v>0</v>
      </c>
      <c r="N18" s="1001"/>
      <c r="O18" s="982">
        <f t="shared" si="12"/>
        <v>0</v>
      </c>
      <c r="P18" s="981">
        <f>'Table 5C1A-Madison Prep'!N18</f>
        <v>13767</v>
      </c>
      <c r="Q18" s="983">
        <f t="shared" si="13"/>
        <v>0</v>
      </c>
      <c r="R18" s="1029">
        <f t="shared" si="22"/>
        <v>0</v>
      </c>
      <c r="S18" s="983">
        <f t="shared" si="23"/>
        <v>0</v>
      </c>
      <c r="T18" s="983">
        <v>0</v>
      </c>
      <c r="U18" s="983">
        <f t="shared" si="24"/>
        <v>0</v>
      </c>
      <c r="V18" s="983">
        <f t="shared" si="25"/>
        <v>0</v>
      </c>
      <c r="W18" s="984">
        <f t="shared" si="26"/>
        <v>0</v>
      </c>
      <c r="X18" s="984">
        <f t="shared" si="14"/>
        <v>0</v>
      </c>
    </row>
    <row r="19" spans="1:24">
      <c r="A19" s="960">
        <v>13</v>
      </c>
      <c r="B19" s="961" t="s">
        <v>105</v>
      </c>
      <c r="C19" s="1078">
        <f>'2-1-13 SIS'!N19</f>
        <v>0</v>
      </c>
      <c r="D19" s="962">
        <f>'Table 3 Levels 1&amp;2'!AL20</f>
        <v>6254.1238637730876</v>
      </c>
      <c r="E19" s="1011">
        <f t="shared" si="15"/>
        <v>0</v>
      </c>
      <c r="F19" s="1011">
        <f>'Table 4 Level 3'!P18</f>
        <v>749.43000000000006</v>
      </c>
      <c r="G19" s="1011">
        <f t="shared" si="16"/>
        <v>0</v>
      </c>
      <c r="H19" s="982">
        <f t="shared" si="17"/>
        <v>0</v>
      </c>
      <c r="I19" s="1021">
        <f t="shared" si="18"/>
        <v>0</v>
      </c>
      <c r="J19" s="982">
        <f t="shared" si="19"/>
        <v>0</v>
      </c>
      <c r="K19" s="982">
        <v>0</v>
      </c>
      <c r="L19" s="982">
        <f t="shared" si="20"/>
        <v>0</v>
      </c>
      <c r="M19" s="982">
        <f t="shared" si="21"/>
        <v>0</v>
      </c>
      <c r="N19" s="1001"/>
      <c r="O19" s="982">
        <f t="shared" si="12"/>
        <v>0</v>
      </c>
      <c r="P19" s="981">
        <f>'Table 5C1A-Madison Prep'!N19</f>
        <v>2525</v>
      </c>
      <c r="Q19" s="983">
        <f t="shared" si="13"/>
        <v>0</v>
      </c>
      <c r="R19" s="1029">
        <f t="shared" si="22"/>
        <v>0</v>
      </c>
      <c r="S19" s="983">
        <f t="shared" si="23"/>
        <v>0</v>
      </c>
      <c r="T19" s="983">
        <v>0</v>
      </c>
      <c r="U19" s="983">
        <f t="shared" si="24"/>
        <v>0</v>
      </c>
      <c r="V19" s="983">
        <f t="shared" si="25"/>
        <v>0</v>
      </c>
      <c r="W19" s="984">
        <f t="shared" si="26"/>
        <v>0</v>
      </c>
      <c r="X19" s="984">
        <f t="shared" si="14"/>
        <v>0</v>
      </c>
    </row>
    <row r="20" spans="1:24">
      <c r="A20" s="960">
        <v>14</v>
      </c>
      <c r="B20" s="961" t="s">
        <v>106</v>
      </c>
      <c r="C20" s="1078">
        <f>'2-1-13 SIS'!N20</f>
        <v>0</v>
      </c>
      <c r="D20" s="962">
        <f>'Table 3 Levels 1&amp;2'!AL21</f>
        <v>5377.9187438545459</v>
      </c>
      <c r="E20" s="1011">
        <f t="shared" si="15"/>
        <v>0</v>
      </c>
      <c r="F20" s="1011">
        <f>'Table 4 Level 3'!P19</f>
        <v>809.9799999999999</v>
      </c>
      <c r="G20" s="1011">
        <f t="shared" si="16"/>
        <v>0</v>
      </c>
      <c r="H20" s="982">
        <f t="shared" si="17"/>
        <v>0</v>
      </c>
      <c r="I20" s="1021">
        <f t="shared" si="18"/>
        <v>0</v>
      </c>
      <c r="J20" s="982">
        <f t="shared" si="19"/>
        <v>0</v>
      </c>
      <c r="K20" s="982">
        <v>0</v>
      </c>
      <c r="L20" s="982">
        <f t="shared" si="20"/>
        <v>0</v>
      </c>
      <c r="M20" s="982">
        <f t="shared" si="21"/>
        <v>0</v>
      </c>
      <c r="N20" s="1001"/>
      <c r="O20" s="982">
        <f t="shared" si="12"/>
        <v>0</v>
      </c>
      <c r="P20" s="981">
        <f>'Table 5C1A-Madison Prep'!N20</f>
        <v>3988</v>
      </c>
      <c r="Q20" s="983">
        <f t="shared" si="13"/>
        <v>0</v>
      </c>
      <c r="R20" s="1029">
        <f t="shared" si="22"/>
        <v>0</v>
      </c>
      <c r="S20" s="983">
        <f t="shared" si="23"/>
        <v>0</v>
      </c>
      <c r="T20" s="983">
        <v>0</v>
      </c>
      <c r="U20" s="983">
        <f t="shared" si="24"/>
        <v>0</v>
      </c>
      <c r="V20" s="983">
        <f t="shared" si="25"/>
        <v>0</v>
      </c>
      <c r="W20" s="984">
        <f t="shared" si="26"/>
        <v>0</v>
      </c>
      <c r="X20" s="984">
        <f t="shared" si="14"/>
        <v>0</v>
      </c>
    </row>
    <row r="21" spans="1:24">
      <c r="A21" s="963">
        <v>15</v>
      </c>
      <c r="B21" s="964" t="s">
        <v>107</v>
      </c>
      <c r="C21" s="1079">
        <f>'2-1-13 SIS'!N21</f>
        <v>0</v>
      </c>
      <c r="D21" s="965">
        <f>'Table 3 Levels 1&amp;2'!AL22</f>
        <v>5527.7651197617861</v>
      </c>
      <c r="E21" s="1012">
        <f t="shared" si="15"/>
        <v>0</v>
      </c>
      <c r="F21" s="1012">
        <f>'Table 4 Level 3'!P20</f>
        <v>553.79999999999995</v>
      </c>
      <c r="G21" s="1012">
        <f t="shared" si="16"/>
        <v>0</v>
      </c>
      <c r="H21" s="985">
        <f t="shared" si="17"/>
        <v>0</v>
      </c>
      <c r="I21" s="1022">
        <f t="shared" si="18"/>
        <v>0</v>
      </c>
      <c r="J21" s="985">
        <f t="shared" si="19"/>
        <v>0</v>
      </c>
      <c r="K21" s="985">
        <v>0</v>
      </c>
      <c r="L21" s="985">
        <f t="shared" si="20"/>
        <v>0</v>
      </c>
      <c r="M21" s="985">
        <f t="shared" si="21"/>
        <v>0</v>
      </c>
      <c r="N21" s="1002"/>
      <c r="O21" s="985">
        <f t="shared" si="12"/>
        <v>0</v>
      </c>
      <c r="P21" s="986">
        <f>'Table 5C1A-Madison Prep'!N21</f>
        <v>2544</v>
      </c>
      <c r="Q21" s="987">
        <f t="shared" si="13"/>
        <v>0</v>
      </c>
      <c r="R21" s="1030">
        <f t="shared" si="22"/>
        <v>0</v>
      </c>
      <c r="S21" s="987">
        <f t="shared" si="23"/>
        <v>0</v>
      </c>
      <c r="T21" s="987">
        <v>0</v>
      </c>
      <c r="U21" s="987">
        <f t="shared" si="24"/>
        <v>0</v>
      </c>
      <c r="V21" s="987">
        <f t="shared" si="25"/>
        <v>0</v>
      </c>
      <c r="W21" s="988">
        <f t="shared" si="26"/>
        <v>0</v>
      </c>
      <c r="X21" s="988">
        <f t="shared" si="14"/>
        <v>0</v>
      </c>
    </row>
    <row r="22" spans="1:24">
      <c r="A22" s="953">
        <v>16</v>
      </c>
      <c r="B22" s="954" t="s">
        <v>108</v>
      </c>
      <c r="C22" s="1080">
        <f>'2-1-13 SIS'!N22</f>
        <v>0</v>
      </c>
      <c r="D22" s="956">
        <f>'Table 3 Levels 1&amp;2'!AL23</f>
        <v>1530.3678845377474</v>
      </c>
      <c r="E22" s="1010">
        <f t="shared" si="15"/>
        <v>0</v>
      </c>
      <c r="F22" s="1010">
        <f>'Table 4 Level 3'!P21</f>
        <v>686.73</v>
      </c>
      <c r="G22" s="1010">
        <f t="shared" si="16"/>
        <v>0</v>
      </c>
      <c r="H22" s="957">
        <f t="shared" si="17"/>
        <v>0</v>
      </c>
      <c r="I22" s="1020">
        <f t="shared" si="18"/>
        <v>0</v>
      </c>
      <c r="J22" s="957">
        <f t="shared" si="19"/>
        <v>0</v>
      </c>
      <c r="K22" s="957">
        <v>0</v>
      </c>
      <c r="L22" s="957">
        <f t="shared" si="20"/>
        <v>0</v>
      </c>
      <c r="M22" s="957">
        <f t="shared" si="21"/>
        <v>0</v>
      </c>
      <c r="N22" s="1000"/>
      <c r="O22" s="957">
        <f t="shared" si="12"/>
        <v>0</v>
      </c>
      <c r="P22" s="981">
        <f>'Table 5C1A-Madison Prep'!N22</f>
        <v>12132</v>
      </c>
      <c r="Q22" s="958">
        <f t="shared" si="13"/>
        <v>0</v>
      </c>
      <c r="R22" s="1028">
        <f t="shared" si="22"/>
        <v>0</v>
      </c>
      <c r="S22" s="958">
        <f t="shared" si="23"/>
        <v>0</v>
      </c>
      <c r="T22" s="958">
        <v>0</v>
      </c>
      <c r="U22" s="958">
        <f t="shared" si="24"/>
        <v>0</v>
      </c>
      <c r="V22" s="958">
        <f t="shared" si="25"/>
        <v>0</v>
      </c>
      <c r="W22" s="959">
        <f t="shared" si="26"/>
        <v>0</v>
      </c>
      <c r="X22" s="959">
        <f t="shared" si="14"/>
        <v>0</v>
      </c>
    </row>
    <row r="23" spans="1:24">
      <c r="A23" s="960">
        <v>17</v>
      </c>
      <c r="B23" s="961" t="s">
        <v>109</v>
      </c>
      <c r="C23" s="1078">
        <f>'2-1-13 SIS'!N23</f>
        <v>0</v>
      </c>
      <c r="D23" s="962">
        <f>'Table 3 Levels 1&amp;2'!AL24</f>
        <v>3313.0666313017805</v>
      </c>
      <c r="E23" s="1011">
        <f t="shared" si="15"/>
        <v>0</v>
      </c>
      <c r="F23" s="1011">
        <f>'Table 5B2_RSD_LA'!F7</f>
        <v>801.47762416806802</v>
      </c>
      <c r="G23" s="1011">
        <f t="shared" si="16"/>
        <v>0</v>
      </c>
      <c r="H23" s="982">
        <f t="shared" si="17"/>
        <v>0</v>
      </c>
      <c r="I23" s="1021">
        <f t="shared" si="18"/>
        <v>0</v>
      </c>
      <c r="J23" s="982">
        <f t="shared" si="19"/>
        <v>0</v>
      </c>
      <c r="K23" s="982">
        <v>0</v>
      </c>
      <c r="L23" s="982">
        <f t="shared" si="20"/>
        <v>0</v>
      </c>
      <c r="M23" s="982">
        <f t="shared" si="21"/>
        <v>0</v>
      </c>
      <c r="N23" s="1001"/>
      <c r="O23" s="982">
        <f t="shared" si="12"/>
        <v>0</v>
      </c>
      <c r="P23" s="981">
        <f>'Table 5C1A-Madison Prep'!N23</f>
        <v>6764</v>
      </c>
      <c r="Q23" s="983">
        <f t="shared" si="13"/>
        <v>0</v>
      </c>
      <c r="R23" s="1029">
        <f t="shared" si="22"/>
        <v>0</v>
      </c>
      <c r="S23" s="983">
        <f t="shared" si="23"/>
        <v>0</v>
      </c>
      <c r="T23" s="983">
        <v>0</v>
      </c>
      <c r="U23" s="983">
        <f t="shared" si="24"/>
        <v>0</v>
      </c>
      <c r="V23" s="983">
        <f t="shared" si="25"/>
        <v>0</v>
      </c>
      <c r="W23" s="984">
        <f t="shared" si="26"/>
        <v>0</v>
      </c>
      <c r="X23" s="984">
        <f t="shared" si="14"/>
        <v>0</v>
      </c>
    </row>
    <row r="24" spans="1:24">
      <c r="A24" s="960">
        <v>18</v>
      </c>
      <c r="B24" s="961" t="s">
        <v>110</v>
      </c>
      <c r="C24" s="1078">
        <f>'2-1-13 SIS'!N24</f>
        <v>0</v>
      </c>
      <c r="D24" s="962">
        <f>'Table 3 Levels 1&amp;2'!AL25</f>
        <v>5989.1351892854573</v>
      </c>
      <c r="E24" s="1011">
        <f t="shared" si="15"/>
        <v>0</v>
      </c>
      <c r="F24" s="1011">
        <f>'Table 4 Level 3'!P23</f>
        <v>845.94999999999993</v>
      </c>
      <c r="G24" s="1011">
        <f t="shared" si="16"/>
        <v>0</v>
      </c>
      <c r="H24" s="982">
        <f t="shared" si="17"/>
        <v>0</v>
      </c>
      <c r="I24" s="1021">
        <f t="shared" si="18"/>
        <v>0</v>
      </c>
      <c r="J24" s="982">
        <f t="shared" si="19"/>
        <v>0</v>
      </c>
      <c r="K24" s="982">
        <v>0</v>
      </c>
      <c r="L24" s="982">
        <f t="shared" si="20"/>
        <v>0</v>
      </c>
      <c r="M24" s="982">
        <f t="shared" si="21"/>
        <v>0</v>
      </c>
      <c r="N24" s="1001"/>
      <c r="O24" s="982">
        <f t="shared" si="12"/>
        <v>0</v>
      </c>
      <c r="P24" s="981">
        <f>'Table 5C1A-Madison Prep'!N24</f>
        <v>2925</v>
      </c>
      <c r="Q24" s="983">
        <f t="shared" si="13"/>
        <v>0</v>
      </c>
      <c r="R24" s="1029">
        <f t="shared" si="22"/>
        <v>0</v>
      </c>
      <c r="S24" s="983">
        <f t="shared" si="23"/>
        <v>0</v>
      </c>
      <c r="T24" s="983">
        <v>0</v>
      </c>
      <c r="U24" s="983">
        <f t="shared" si="24"/>
        <v>0</v>
      </c>
      <c r="V24" s="983">
        <f t="shared" si="25"/>
        <v>0</v>
      </c>
      <c r="W24" s="984">
        <f t="shared" si="26"/>
        <v>0</v>
      </c>
      <c r="X24" s="984">
        <f t="shared" si="14"/>
        <v>0</v>
      </c>
    </row>
    <row r="25" spans="1:24">
      <c r="A25" s="960">
        <v>19</v>
      </c>
      <c r="B25" s="961" t="s">
        <v>111</v>
      </c>
      <c r="C25" s="1078">
        <f>'2-1-13 SIS'!N25</f>
        <v>0</v>
      </c>
      <c r="D25" s="962">
        <f>'Table 3 Levels 1&amp;2'!AL26</f>
        <v>5315.8913399708035</v>
      </c>
      <c r="E25" s="1011">
        <f t="shared" si="15"/>
        <v>0</v>
      </c>
      <c r="F25" s="1011">
        <f>'Table 4 Level 3'!P24</f>
        <v>905.43</v>
      </c>
      <c r="G25" s="1011">
        <f t="shared" si="16"/>
        <v>0</v>
      </c>
      <c r="H25" s="982">
        <f t="shared" si="17"/>
        <v>0</v>
      </c>
      <c r="I25" s="1021">
        <f t="shared" si="18"/>
        <v>0</v>
      </c>
      <c r="J25" s="982">
        <f t="shared" si="19"/>
        <v>0</v>
      </c>
      <c r="K25" s="982">
        <v>0</v>
      </c>
      <c r="L25" s="982">
        <f t="shared" si="20"/>
        <v>0</v>
      </c>
      <c r="M25" s="982">
        <f t="shared" si="21"/>
        <v>0</v>
      </c>
      <c r="N25" s="1001"/>
      <c r="O25" s="982">
        <f t="shared" si="12"/>
        <v>0</v>
      </c>
      <c r="P25" s="981">
        <f>'Table 5C1A-Madison Prep'!N25</f>
        <v>2570</v>
      </c>
      <c r="Q25" s="983">
        <f t="shared" si="13"/>
        <v>0</v>
      </c>
      <c r="R25" s="1029">
        <f t="shared" si="22"/>
        <v>0</v>
      </c>
      <c r="S25" s="983">
        <f t="shared" si="23"/>
        <v>0</v>
      </c>
      <c r="T25" s="983">
        <v>0</v>
      </c>
      <c r="U25" s="983">
        <f t="shared" si="24"/>
        <v>0</v>
      </c>
      <c r="V25" s="983">
        <f t="shared" si="25"/>
        <v>0</v>
      </c>
      <c r="W25" s="984">
        <f t="shared" si="26"/>
        <v>0</v>
      </c>
      <c r="X25" s="984">
        <f t="shared" si="14"/>
        <v>0</v>
      </c>
    </row>
    <row r="26" spans="1:24">
      <c r="A26" s="963">
        <v>20</v>
      </c>
      <c r="B26" s="964" t="s">
        <v>112</v>
      </c>
      <c r="C26" s="1079">
        <f>'2-1-13 SIS'!N26</f>
        <v>0</v>
      </c>
      <c r="D26" s="965">
        <f>'Table 3 Levels 1&amp;2'!AL27</f>
        <v>5420.2042919205833</v>
      </c>
      <c r="E26" s="1012">
        <f t="shared" si="15"/>
        <v>0</v>
      </c>
      <c r="F26" s="1012">
        <f>'Table 4 Level 3'!P25</f>
        <v>586.16999999999996</v>
      </c>
      <c r="G26" s="1012">
        <f t="shared" si="16"/>
        <v>0</v>
      </c>
      <c r="H26" s="985">
        <f t="shared" si="17"/>
        <v>0</v>
      </c>
      <c r="I26" s="1022">
        <f t="shared" si="18"/>
        <v>0</v>
      </c>
      <c r="J26" s="985">
        <f t="shared" si="19"/>
        <v>0</v>
      </c>
      <c r="K26" s="985">
        <v>0</v>
      </c>
      <c r="L26" s="985">
        <f t="shared" si="20"/>
        <v>0</v>
      </c>
      <c r="M26" s="985">
        <f t="shared" si="21"/>
        <v>0</v>
      </c>
      <c r="N26" s="1002"/>
      <c r="O26" s="985">
        <f t="shared" si="12"/>
        <v>0</v>
      </c>
      <c r="P26" s="986">
        <f>'Table 5C1A-Madison Prep'!N26</f>
        <v>2420</v>
      </c>
      <c r="Q26" s="987">
        <f t="shared" si="13"/>
        <v>0</v>
      </c>
      <c r="R26" s="1030">
        <f t="shared" si="22"/>
        <v>0</v>
      </c>
      <c r="S26" s="987">
        <f t="shared" si="23"/>
        <v>0</v>
      </c>
      <c r="T26" s="987">
        <v>0</v>
      </c>
      <c r="U26" s="987">
        <f t="shared" si="24"/>
        <v>0</v>
      </c>
      <c r="V26" s="987">
        <f t="shared" si="25"/>
        <v>0</v>
      </c>
      <c r="W26" s="988">
        <f t="shared" si="26"/>
        <v>0</v>
      </c>
      <c r="X26" s="988">
        <f t="shared" si="14"/>
        <v>0</v>
      </c>
    </row>
    <row r="27" spans="1:24">
      <c r="A27" s="953">
        <v>21</v>
      </c>
      <c r="B27" s="954" t="s">
        <v>113</v>
      </c>
      <c r="C27" s="1080">
        <f>'2-1-13 SIS'!N27</f>
        <v>0</v>
      </c>
      <c r="D27" s="956">
        <f>'Table 3 Levels 1&amp;2'!AL28</f>
        <v>5724.5404916279067</v>
      </c>
      <c r="E27" s="1010">
        <f t="shared" si="15"/>
        <v>0</v>
      </c>
      <c r="F27" s="1010">
        <f>'Table 4 Level 3'!P26</f>
        <v>610.35</v>
      </c>
      <c r="G27" s="1010">
        <f t="shared" si="16"/>
        <v>0</v>
      </c>
      <c r="H27" s="957">
        <f t="shared" si="17"/>
        <v>0</v>
      </c>
      <c r="I27" s="1020">
        <f t="shared" si="18"/>
        <v>0</v>
      </c>
      <c r="J27" s="957">
        <f t="shared" si="19"/>
        <v>0</v>
      </c>
      <c r="K27" s="957">
        <v>0</v>
      </c>
      <c r="L27" s="957">
        <f t="shared" si="20"/>
        <v>0</v>
      </c>
      <c r="M27" s="957">
        <f t="shared" si="21"/>
        <v>0</v>
      </c>
      <c r="N27" s="1000"/>
      <c r="O27" s="957">
        <f t="shared" si="12"/>
        <v>0</v>
      </c>
      <c r="P27" s="981">
        <f>'Table 5C1A-Madison Prep'!N27</f>
        <v>2265</v>
      </c>
      <c r="Q27" s="958">
        <f t="shared" si="13"/>
        <v>0</v>
      </c>
      <c r="R27" s="1028">
        <f t="shared" si="22"/>
        <v>0</v>
      </c>
      <c r="S27" s="958">
        <f t="shared" si="23"/>
        <v>0</v>
      </c>
      <c r="T27" s="958">
        <v>0</v>
      </c>
      <c r="U27" s="958">
        <f t="shared" si="24"/>
        <v>0</v>
      </c>
      <c r="V27" s="958">
        <f t="shared" si="25"/>
        <v>0</v>
      </c>
      <c r="W27" s="959">
        <f t="shared" si="26"/>
        <v>0</v>
      </c>
      <c r="X27" s="959">
        <f t="shared" si="14"/>
        <v>0</v>
      </c>
    </row>
    <row r="28" spans="1:24">
      <c r="A28" s="960">
        <v>22</v>
      </c>
      <c r="B28" s="961" t="s">
        <v>114</v>
      </c>
      <c r="C28" s="1078">
        <f>'2-1-13 SIS'!N28</f>
        <v>0</v>
      </c>
      <c r="D28" s="962">
        <f>'Table 3 Levels 1&amp;2'!AL29</f>
        <v>6203.2933768722742</v>
      </c>
      <c r="E28" s="1011">
        <f t="shared" si="15"/>
        <v>0</v>
      </c>
      <c r="F28" s="1011">
        <f>'Table 4 Level 3'!P27</f>
        <v>496.36</v>
      </c>
      <c r="G28" s="1011">
        <f t="shared" si="16"/>
        <v>0</v>
      </c>
      <c r="H28" s="982">
        <f t="shared" si="17"/>
        <v>0</v>
      </c>
      <c r="I28" s="1021">
        <f t="shared" si="18"/>
        <v>0</v>
      </c>
      <c r="J28" s="982">
        <f t="shared" si="19"/>
        <v>0</v>
      </c>
      <c r="K28" s="982">
        <v>0</v>
      </c>
      <c r="L28" s="982">
        <f t="shared" si="20"/>
        <v>0</v>
      </c>
      <c r="M28" s="982">
        <f t="shared" si="21"/>
        <v>0</v>
      </c>
      <c r="N28" s="1001"/>
      <c r="O28" s="982">
        <f t="shared" si="12"/>
        <v>0</v>
      </c>
      <c r="P28" s="981">
        <f>'Table 5C1A-Madison Prep'!N28</f>
        <v>1438</v>
      </c>
      <c r="Q28" s="983">
        <f t="shared" si="13"/>
        <v>0</v>
      </c>
      <c r="R28" s="1029">
        <f t="shared" si="22"/>
        <v>0</v>
      </c>
      <c r="S28" s="983">
        <f t="shared" si="23"/>
        <v>0</v>
      </c>
      <c r="T28" s="983">
        <v>0</v>
      </c>
      <c r="U28" s="983">
        <f t="shared" si="24"/>
        <v>0</v>
      </c>
      <c r="V28" s="983">
        <f t="shared" si="25"/>
        <v>0</v>
      </c>
      <c r="W28" s="984">
        <f t="shared" si="26"/>
        <v>0</v>
      </c>
      <c r="X28" s="984">
        <f t="shared" si="14"/>
        <v>0</v>
      </c>
    </row>
    <row r="29" spans="1:24">
      <c r="A29" s="960">
        <v>23</v>
      </c>
      <c r="B29" s="961" t="s">
        <v>115</v>
      </c>
      <c r="C29" s="1078">
        <f>'2-1-13 SIS'!N29</f>
        <v>0</v>
      </c>
      <c r="D29" s="962">
        <f>'Table 3 Levels 1&amp;2'!AL30</f>
        <v>4846.0802490067681</v>
      </c>
      <c r="E29" s="1011">
        <f t="shared" si="15"/>
        <v>0</v>
      </c>
      <c r="F29" s="1011">
        <f>'Table 4 Level 3'!P28</f>
        <v>688.58</v>
      </c>
      <c r="G29" s="1011">
        <f t="shared" si="16"/>
        <v>0</v>
      </c>
      <c r="H29" s="982">
        <f t="shared" si="17"/>
        <v>0</v>
      </c>
      <c r="I29" s="1021">
        <f t="shared" si="18"/>
        <v>0</v>
      </c>
      <c r="J29" s="982">
        <f t="shared" si="19"/>
        <v>0</v>
      </c>
      <c r="K29" s="982">
        <v>0</v>
      </c>
      <c r="L29" s="982">
        <f t="shared" si="20"/>
        <v>0</v>
      </c>
      <c r="M29" s="982">
        <f t="shared" si="21"/>
        <v>0</v>
      </c>
      <c r="N29" s="1001"/>
      <c r="O29" s="982">
        <f t="shared" si="12"/>
        <v>0</v>
      </c>
      <c r="P29" s="981">
        <f>'Table 5C1A-Madison Prep'!N29</f>
        <v>3386</v>
      </c>
      <c r="Q29" s="983">
        <f t="shared" si="13"/>
        <v>0</v>
      </c>
      <c r="R29" s="1029">
        <f t="shared" si="22"/>
        <v>0</v>
      </c>
      <c r="S29" s="983">
        <f t="shared" si="23"/>
        <v>0</v>
      </c>
      <c r="T29" s="983">
        <v>0</v>
      </c>
      <c r="U29" s="983">
        <f t="shared" si="24"/>
        <v>0</v>
      </c>
      <c r="V29" s="983">
        <f t="shared" si="25"/>
        <v>0</v>
      </c>
      <c r="W29" s="984">
        <f t="shared" si="26"/>
        <v>0</v>
      </c>
      <c r="X29" s="984">
        <f t="shared" si="14"/>
        <v>0</v>
      </c>
    </row>
    <row r="30" spans="1:24">
      <c r="A30" s="960">
        <v>24</v>
      </c>
      <c r="B30" s="961" t="s">
        <v>116</v>
      </c>
      <c r="C30" s="1078">
        <f>'2-1-13 SIS'!N30</f>
        <v>0</v>
      </c>
      <c r="D30" s="962">
        <f>'Table 3 Levels 1&amp;2'!AL31</f>
        <v>2764.1216755319151</v>
      </c>
      <c r="E30" s="1011">
        <f t="shared" si="15"/>
        <v>0</v>
      </c>
      <c r="F30" s="1011">
        <f>'Table 4 Level 3'!P29</f>
        <v>854.24999999999989</v>
      </c>
      <c r="G30" s="1011">
        <f t="shared" si="16"/>
        <v>0</v>
      </c>
      <c r="H30" s="982">
        <f t="shared" si="17"/>
        <v>0</v>
      </c>
      <c r="I30" s="1021">
        <f t="shared" si="18"/>
        <v>0</v>
      </c>
      <c r="J30" s="982">
        <f t="shared" si="19"/>
        <v>0</v>
      </c>
      <c r="K30" s="982">
        <v>0</v>
      </c>
      <c r="L30" s="982">
        <f t="shared" si="20"/>
        <v>0</v>
      </c>
      <c r="M30" s="982">
        <f t="shared" si="21"/>
        <v>0</v>
      </c>
      <c r="N30" s="1001"/>
      <c r="O30" s="982">
        <f t="shared" si="12"/>
        <v>0</v>
      </c>
      <c r="P30" s="981">
        <f>'Table 5C1A-Madison Prep'!N30</f>
        <v>9761</v>
      </c>
      <c r="Q30" s="983">
        <f t="shared" si="13"/>
        <v>0</v>
      </c>
      <c r="R30" s="1029">
        <f t="shared" si="22"/>
        <v>0</v>
      </c>
      <c r="S30" s="983">
        <f t="shared" si="23"/>
        <v>0</v>
      </c>
      <c r="T30" s="983">
        <v>0</v>
      </c>
      <c r="U30" s="983">
        <f t="shared" si="24"/>
        <v>0</v>
      </c>
      <c r="V30" s="983">
        <f t="shared" si="25"/>
        <v>0</v>
      </c>
      <c r="W30" s="984">
        <f t="shared" si="26"/>
        <v>0</v>
      </c>
      <c r="X30" s="984">
        <f t="shared" si="14"/>
        <v>0</v>
      </c>
    </row>
    <row r="31" spans="1:24">
      <c r="A31" s="963">
        <v>25</v>
      </c>
      <c r="B31" s="964" t="s">
        <v>117</v>
      </c>
      <c r="C31" s="1079">
        <f>'2-1-13 SIS'!N31</f>
        <v>0</v>
      </c>
      <c r="D31" s="965">
        <f>'Table 3 Levels 1&amp;2'!AL32</f>
        <v>3867.4480692053257</v>
      </c>
      <c r="E31" s="1012">
        <f t="shared" si="15"/>
        <v>0</v>
      </c>
      <c r="F31" s="1012">
        <f>'Table 4 Level 3'!P30</f>
        <v>653.73</v>
      </c>
      <c r="G31" s="1012">
        <f t="shared" si="16"/>
        <v>0</v>
      </c>
      <c r="H31" s="985">
        <f t="shared" si="17"/>
        <v>0</v>
      </c>
      <c r="I31" s="1022">
        <f t="shared" si="18"/>
        <v>0</v>
      </c>
      <c r="J31" s="985">
        <f t="shared" si="19"/>
        <v>0</v>
      </c>
      <c r="K31" s="985">
        <v>0</v>
      </c>
      <c r="L31" s="985">
        <f t="shared" si="20"/>
        <v>0</v>
      </c>
      <c r="M31" s="985">
        <f t="shared" si="21"/>
        <v>0</v>
      </c>
      <c r="N31" s="1002"/>
      <c r="O31" s="985">
        <f t="shared" si="12"/>
        <v>0</v>
      </c>
      <c r="P31" s="986">
        <f>'Table 5C1A-Madison Prep'!N31</f>
        <v>4842</v>
      </c>
      <c r="Q31" s="987">
        <f t="shared" si="13"/>
        <v>0</v>
      </c>
      <c r="R31" s="1030">
        <f t="shared" si="22"/>
        <v>0</v>
      </c>
      <c r="S31" s="987">
        <f t="shared" si="23"/>
        <v>0</v>
      </c>
      <c r="T31" s="987">
        <v>0</v>
      </c>
      <c r="U31" s="987">
        <f t="shared" si="24"/>
        <v>0</v>
      </c>
      <c r="V31" s="987">
        <f t="shared" si="25"/>
        <v>0</v>
      </c>
      <c r="W31" s="988">
        <f t="shared" si="26"/>
        <v>0</v>
      </c>
      <c r="X31" s="988">
        <f t="shared" si="14"/>
        <v>0</v>
      </c>
    </row>
    <row r="32" spans="1:24">
      <c r="A32" s="953">
        <v>26</v>
      </c>
      <c r="B32" s="954" t="s">
        <v>118</v>
      </c>
      <c r="C32" s="1080">
        <f>'2-1-13 SIS'!N32</f>
        <v>49</v>
      </c>
      <c r="D32" s="956">
        <f>'Table 3 Levels 1&amp;2'!AL33</f>
        <v>3293.481526790355</v>
      </c>
      <c r="E32" s="1010">
        <f t="shared" si="15"/>
        <v>161380.59481272739</v>
      </c>
      <c r="F32" s="1010">
        <f>'Table 4 Level 3'!P31</f>
        <v>836.83</v>
      </c>
      <c r="G32" s="1010">
        <f t="shared" si="16"/>
        <v>41004.670000000006</v>
      </c>
      <c r="H32" s="957">
        <f t="shared" si="17"/>
        <v>202385.2648127274</v>
      </c>
      <c r="I32" s="1020">
        <f t="shared" si="18"/>
        <v>-505.96316203181851</v>
      </c>
      <c r="J32" s="957">
        <f t="shared" si="19"/>
        <v>201879.30165069559</v>
      </c>
      <c r="K32" s="957">
        <v>0</v>
      </c>
      <c r="L32" s="957">
        <f t="shared" si="20"/>
        <v>201879.30165069559</v>
      </c>
      <c r="M32" s="957">
        <f t="shared" si="21"/>
        <v>16823.275137557965</v>
      </c>
      <c r="N32" s="1000"/>
      <c r="O32" s="957">
        <f t="shared" si="12"/>
        <v>201879.30165069559</v>
      </c>
      <c r="P32" s="981">
        <f>'Table 5C1A-Madison Prep'!N32</f>
        <v>5301</v>
      </c>
      <c r="Q32" s="958">
        <f t="shared" si="13"/>
        <v>259749</v>
      </c>
      <c r="R32" s="1028">
        <f t="shared" si="22"/>
        <v>-649.37250000000006</v>
      </c>
      <c r="S32" s="958">
        <f t="shared" si="23"/>
        <v>259099.6275</v>
      </c>
      <c r="T32" s="958">
        <v>0</v>
      </c>
      <c r="U32" s="958">
        <f t="shared" si="24"/>
        <v>259099.6275</v>
      </c>
      <c r="V32" s="958">
        <f t="shared" si="25"/>
        <v>21591.635624999999</v>
      </c>
      <c r="W32" s="959">
        <f t="shared" si="26"/>
        <v>460978.92915069556</v>
      </c>
      <c r="X32" s="959">
        <f t="shared" si="14"/>
        <v>38414.910762557964</v>
      </c>
    </row>
    <row r="33" spans="1:24">
      <c r="A33" s="960">
        <v>27</v>
      </c>
      <c r="B33" s="961" t="s">
        <v>119</v>
      </c>
      <c r="C33" s="1081">
        <f>'2-1-13 SIS'!N33</f>
        <v>0</v>
      </c>
      <c r="D33" s="966">
        <f>'Table 3 Levels 1&amp;2'!AL34</f>
        <v>5680.7727517381973</v>
      </c>
      <c r="E33" s="1013">
        <f t="shared" si="15"/>
        <v>0</v>
      </c>
      <c r="F33" s="1013">
        <f>'Table 4 Level 3'!P32</f>
        <v>693.06</v>
      </c>
      <c r="G33" s="1013">
        <f t="shared" si="16"/>
        <v>0</v>
      </c>
      <c r="H33" s="989">
        <f t="shared" si="17"/>
        <v>0</v>
      </c>
      <c r="I33" s="1023">
        <f t="shared" si="18"/>
        <v>0</v>
      </c>
      <c r="J33" s="989">
        <f t="shared" si="19"/>
        <v>0</v>
      </c>
      <c r="K33" s="989">
        <v>0</v>
      </c>
      <c r="L33" s="989">
        <f t="shared" si="20"/>
        <v>0</v>
      </c>
      <c r="M33" s="989">
        <f t="shared" si="21"/>
        <v>0</v>
      </c>
      <c r="N33" s="1003"/>
      <c r="O33" s="989">
        <f t="shared" si="12"/>
        <v>0</v>
      </c>
      <c r="P33" s="981">
        <f>'Table 5C1A-Madison Prep'!N33</f>
        <v>3252</v>
      </c>
      <c r="Q33" s="983">
        <f t="shared" si="13"/>
        <v>0</v>
      </c>
      <c r="R33" s="1029">
        <f t="shared" si="22"/>
        <v>0</v>
      </c>
      <c r="S33" s="983">
        <f t="shared" si="23"/>
        <v>0</v>
      </c>
      <c r="T33" s="983">
        <v>0</v>
      </c>
      <c r="U33" s="983">
        <f t="shared" si="24"/>
        <v>0</v>
      </c>
      <c r="V33" s="983">
        <f t="shared" si="25"/>
        <v>0</v>
      </c>
      <c r="W33" s="984">
        <f t="shared" si="26"/>
        <v>0</v>
      </c>
      <c r="X33" s="984">
        <f t="shared" si="14"/>
        <v>0</v>
      </c>
    </row>
    <row r="34" spans="1:24">
      <c r="A34" s="960">
        <v>28</v>
      </c>
      <c r="B34" s="961" t="s">
        <v>120</v>
      </c>
      <c r="C34" s="1081">
        <f>'2-1-13 SIS'!N34</f>
        <v>0</v>
      </c>
      <c r="D34" s="966">
        <f>'Table 3 Levels 1&amp;2'!AL35</f>
        <v>3163.1694438483169</v>
      </c>
      <c r="E34" s="1013">
        <f t="shared" si="15"/>
        <v>0</v>
      </c>
      <c r="F34" s="1013">
        <f>'Table 4 Level 3'!P33</f>
        <v>694.4</v>
      </c>
      <c r="G34" s="1013">
        <f t="shared" si="16"/>
        <v>0</v>
      </c>
      <c r="H34" s="989">
        <f t="shared" si="17"/>
        <v>0</v>
      </c>
      <c r="I34" s="1023">
        <f t="shared" si="18"/>
        <v>0</v>
      </c>
      <c r="J34" s="989">
        <f t="shared" si="19"/>
        <v>0</v>
      </c>
      <c r="K34" s="989">
        <v>0</v>
      </c>
      <c r="L34" s="989">
        <f t="shared" si="20"/>
        <v>0</v>
      </c>
      <c r="M34" s="989">
        <f t="shared" si="21"/>
        <v>0</v>
      </c>
      <c r="N34" s="1003"/>
      <c r="O34" s="989">
        <f t="shared" si="12"/>
        <v>0</v>
      </c>
      <c r="P34" s="981">
        <f>'Table 5C1A-Madison Prep'!N34</f>
        <v>5361</v>
      </c>
      <c r="Q34" s="983">
        <f t="shared" si="13"/>
        <v>0</v>
      </c>
      <c r="R34" s="1029">
        <f t="shared" si="22"/>
        <v>0</v>
      </c>
      <c r="S34" s="983">
        <f t="shared" si="23"/>
        <v>0</v>
      </c>
      <c r="T34" s="983">
        <v>0</v>
      </c>
      <c r="U34" s="983">
        <f t="shared" si="24"/>
        <v>0</v>
      </c>
      <c r="V34" s="983">
        <f t="shared" si="25"/>
        <v>0</v>
      </c>
      <c r="W34" s="984">
        <f t="shared" si="26"/>
        <v>0</v>
      </c>
      <c r="X34" s="984">
        <f t="shared" si="14"/>
        <v>0</v>
      </c>
    </row>
    <row r="35" spans="1:24">
      <c r="A35" s="960">
        <v>29</v>
      </c>
      <c r="B35" s="961" t="s">
        <v>121</v>
      </c>
      <c r="C35" s="1081">
        <f>'2-1-13 SIS'!N35</f>
        <v>0</v>
      </c>
      <c r="D35" s="966">
        <f>'Table 3 Levels 1&amp;2'!AL36</f>
        <v>3952.5586133052648</v>
      </c>
      <c r="E35" s="1013">
        <f t="shared" si="15"/>
        <v>0</v>
      </c>
      <c r="F35" s="1013">
        <f>'Table 4 Level 3'!P34</f>
        <v>754.94999999999993</v>
      </c>
      <c r="G35" s="1013">
        <f t="shared" si="16"/>
        <v>0</v>
      </c>
      <c r="H35" s="989">
        <f t="shared" si="17"/>
        <v>0</v>
      </c>
      <c r="I35" s="1023">
        <f t="shared" si="18"/>
        <v>0</v>
      </c>
      <c r="J35" s="989">
        <f t="shared" si="19"/>
        <v>0</v>
      </c>
      <c r="K35" s="989">
        <v>0</v>
      </c>
      <c r="L35" s="989">
        <f t="shared" si="20"/>
        <v>0</v>
      </c>
      <c r="M35" s="989">
        <f t="shared" si="21"/>
        <v>0</v>
      </c>
      <c r="N35" s="1003"/>
      <c r="O35" s="989">
        <f t="shared" si="12"/>
        <v>0</v>
      </c>
      <c r="P35" s="981">
        <f>'Table 5C1A-Madison Prep'!N35</f>
        <v>4763</v>
      </c>
      <c r="Q35" s="983">
        <f t="shared" si="13"/>
        <v>0</v>
      </c>
      <c r="R35" s="1029">
        <f t="shared" si="22"/>
        <v>0</v>
      </c>
      <c r="S35" s="983">
        <f t="shared" si="23"/>
        <v>0</v>
      </c>
      <c r="T35" s="983">
        <v>0</v>
      </c>
      <c r="U35" s="983">
        <f t="shared" si="24"/>
        <v>0</v>
      </c>
      <c r="V35" s="983">
        <f t="shared" si="25"/>
        <v>0</v>
      </c>
      <c r="W35" s="984">
        <f t="shared" si="26"/>
        <v>0</v>
      </c>
      <c r="X35" s="984">
        <f t="shared" si="14"/>
        <v>0</v>
      </c>
    </row>
    <row r="36" spans="1:24">
      <c r="A36" s="963">
        <v>30</v>
      </c>
      <c r="B36" s="964" t="s">
        <v>122</v>
      </c>
      <c r="C36" s="1082">
        <f>'2-1-13 SIS'!N36</f>
        <v>0</v>
      </c>
      <c r="D36" s="967">
        <f>'Table 3 Levels 1&amp;2'!AL37</f>
        <v>5648.6510465852989</v>
      </c>
      <c r="E36" s="1014">
        <f t="shared" si="15"/>
        <v>0</v>
      </c>
      <c r="F36" s="1014">
        <f>'Table 4 Level 3'!P35</f>
        <v>727.17</v>
      </c>
      <c r="G36" s="1014">
        <f t="shared" si="16"/>
        <v>0</v>
      </c>
      <c r="H36" s="990">
        <f t="shared" si="17"/>
        <v>0</v>
      </c>
      <c r="I36" s="1024">
        <f t="shared" si="18"/>
        <v>0</v>
      </c>
      <c r="J36" s="990">
        <f t="shared" si="19"/>
        <v>0</v>
      </c>
      <c r="K36" s="990">
        <v>0</v>
      </c>
      <c r="L36" s="990">
        <f t="shared" si="20"/>
        <v>0</v>
      </c>
      <c r="M36" s="990">
        <f t="shared" si="21"/>
        <v>0</v>
      </c>
      <c r="N36" s="1004"/>
      <c r="O36" s="990">
        <f t="shared" si="12"/>
        <v>0</v>
      </c>
      <c r="P36" s="986">
        <f>'Table 5C1A-Madison Prep'!N36</f>
        <v>3236</v>
      </c>
      <c r="Q36" s="987">
        <f t="shared" si="13"/>
        <v>0</v>
      </c>
      <c r="R36" s="1030">
        <f t="shared" si="22"/>
        <v>0</v>
      </c>
      <c r="S36" s="987">
        <f t="shared" si="23"/>
        <v>0</v>
      </c>
      <c r="T36" s="987">
        <v>0</v>
      </c>
      <c r="U36" s="987">
        <f t="shared" si="24"/>
        <v>0</v>
      </c>
      <c r="V36" s="987">
        <f t="shared" si="25"/>
        <v>0</v>
      </c>
      <c r="W36" s="988">
        <f t="shared" si="26"/>
        <v>0</v>
      </c>
      <c r="X36" s="988">
        <f t="shared" si="14"/>
        <v>0</v>
      </c>
    </row>
    <row r="37" spans="1:24">
      <c r="A37" s="953">
        <v>31</v>
      </c>
      <c r="B37" s="954" t="s">
        <v>123</v>
      </c>
      <c r="C37" s="1083">
        <f>'2-1-13 SIS'!N37</f>
        <v>0</v>
      </c>
      <c r="D37" s="968">
        <f>'Table 3 Levels 1&amp;2'!AL38</f>
        <v>4348.9307899232972</v>
      </c>
      <c r="E37" s="1015">
        <f t="shared" si="15"/>
        <v>0</v>
      </c>
      <c r="F37" s="1015">
        <f>'Table 4 Level 3'!P36</f>
        <v>620.83000000000004</v>
      </c>
      <c r="G37" s="1015">
        <f t="shared" si="16"/>
        <v>0</v>
      </c>
      <c r="H37" s="991">
        <f t="shared" si="17"/>
        <v>0</v>
      </c>
      <c r="I37" s="1025">
        <f t="shared" si="18"/>
        <v>0</v>
      </c>
      <c r="J37" s="991">
        <f t="shared" si="19"/>
        <v>0</v>
      </c>
      <c r="K37" s="991">
        <v>0</v>
      </c>
      <c r="L37" s="991">
        <f t="shared" si="20"/>
        <v>0</v>
      </c>
      <c r="M37" s="991">
        <f t="shared" si="21"/>
        <v>0</v>
      </c>
      <c r="N37" s="1005"/>
      <c r="O37" s="991">
        <f t="shared" si="12"/>
        <v>0</v>
      </c>
      <c r="P37" s="981">
        <f>'Table 5C1A-Madison Prep'!N37</f>
        <v>4795</v>
      </c>
      <c r="Q37" s="958">
        <f t="shared" si="13"/>
        <v>0</v>
      </c>
      <c r="R37" s="1028">
        <f t="shared" si="22"/>
        <v>0</v>
      </c>
      <c r="S37" s="958">
        <f t="shared" si="23"/>
        <v>0</v>
      </c>
      <c r="T37" s="958">
        <v>0</v>
      </c>
      <c r="U37" s="958">
        <f t="shared" si="24"/>
        <v>0</v>
      </c>
      <c r="V37" s="958">
        <f t="shared" si="25"/>
        <v>0</v>
      </c>
      <c r="W37" s="959">
        <f t="shared" si="26"/>
        <v>0</v>
      </c>
      <c r="X37" s="959">
        <f t="shared" si="14"/>
        <v>0</v>
      </c>
    </row>
    <row r="38" spans="1:24">
      <c r="A38" s="960">
        <v>32</v>
      </c>
      <c r="B38" s="961" t="s">
        <v>124</v>
      </c>
      <c r="C38" s="1081">
        <f>'2-1-13 SIS'!N38</f>
        <v>0</v>
      </c>
      <c r="D38" s="966">
        <f>'Table 3 Levels 1&amp;2'!AL39</f>
        <v>5531.5157655456787</v>
      </c>
      <c r="E38" s="1013">
        <f t="shared" si="15"/>
        <v>0</v>
      </c>
      <c r="F38" s="1013">
        <f>'Table 4 Level 3'!P37</f>
        <v>559.77</v>
      </c>
      <c r="G38" s="1013">
        <f t="shared" si="16"/>
        <v>0</v>
      </c>
      <c r="H38" s="989">
        <f t="shared" si="17"/>
        <v>0</v>
      </c>
      <c r="I38" s="1023">
        <f t="shared" si="18"/>
        <v>0</v>
      </c>
      <c r="J38" s="989">
        <f t="shared" si="19"/>
        <v>0</v>
      </c>
      <c r="K38" s="989">
        <v>0</v>
      </c>
      <c r="L38" s="989">
        <f t="shared" si="20"/>
        <v>0</v>
      </c>
      <c r="M38" s="989">
        <f t="shared" si="21"/>
        <v>0</v>
      </c>
      <c r="N38" s="1003"/>
      <c r="O38" s="989">
        <f t="shared" si="12"/>
        <v>0</v>
      </c>
      <c r="P38" s="981">
        <f>'Table 5C1A-Madison Prep'!N38</f>
        <v>2109</v>
      </c>
      <c r="Q38" s="983">
        <f t="shared" si="13"/>
        <v>0</v>
      </c>
      <c r="R38" s="1029">
        <f t="shared" si="22"/>
        <v>0</v>
      </c>
      <c r="S38" s="983">
        <f t="shared" si="23"/>
        <v>0</v>
      </c>
      <c r="T38" s="983">
        <v>0</v>
      </c>
      <c r="U38" s="983">
        <f t="shared" si="24"/>
        <v>0</v>
      </c>
      <c r="V38" s="983">
        <f t="shared" si="25"/>
        <v>0</v>
      </c>
      <c r="W38" s="984">
        <f t="shared" si="26"/>
        <v>0</v>
      </c>
      <c r="X38" s="984">
        <f t="shared" si="14"/>
        <v>0</v>
      </c>
    </row>
    <row r="39" spans="1:24">
      <c r="A39" s="960">
        <v>33</v>
      </c>
      <c r="B39" s="961" t="s">
        <v>125</v>
      </c>
      <c r="C39" s="1081">
        <f>'2-1-13 SIS'!N39</f>
        <v>0</v>
      </c>
      <c r="D39" s="966">
        <f>'Table 3 Levels 1&amp;2'!AL40</f>
        <v>5329.5444226517857</v>
      </c>
      <c r="E39" s="1013">
        <f t="shared" si="15"/>
        <v>0</v>
      </c>
      <c r="F39" s="1013">
        <f>'Table 4 Level 3'!P38</f>
        <v>655.31000000000006</v>
      </c>
      <c r="G39" s="1013">
        <f t="shared" si="16"/>
        <v>0</v>
      </c>
      <c r="H39" s="989">
        <f t="shared" si="17"/>
        <v>0</v>
      </c>
      <c r="I39" s="1023">
        <f t="shared" si="18"/>
        <v>0</v>
      </c>
      <c r="J39" s="989">
        <f t="shared" si="19"/>
        <v>0</v>
      </c>
      <c r="K39" s="989">
        <v>0</v>
      </c>
      <c r="L39" s="989">
        <f t="shared" si="20"/>
        <v>0</v>
      </c>
      <c r="M39" s="989">
        <f t="shared" si="21"/>
        <v>0</v>
      </c>
      <c r="N39" s="1003"/>
      <c r="O39" s="989">
        <f t="shared" ref="O39:O70" si="27">L39+N39</f>
        <v>0</v>
      </c>
      <c r="P39" s="981">
        <f>'Table 5C1A-Madison Prep'!N39</f>
        <v>2649</v>
      </c>
      <c r="Q39" s="983">
        <f t="shared" ref="Q39:Q70" si="28">C39*P39</f>
        <v>0</v>
      </c>
      <c r="R39" s="1029">
        <f t="shared" si="22"/>
        <v>0</v>
      </c>
      <c r="S39" s="983">
        <f t="shared" si="23"/>
        <v>0</v>
      </c>
      <c r="T39" s="983">
        <v>0</v>
      </c>
      <c r="U39" s="983">
        <f t="shared" si="24"/>
        <v>0</v>
      </c>
      <c r="V39" s="983">
        <f t="shared" si="25"/>
        <v>0</v>
      </c>
      <c r="W39" s="984">
        <f t="shared" si="26"/>
        <v>0</v>
      </c>
      <c r="X39" s="984">
        <f t="shared" ref="X39:X75" si="29">M39+V39</f>
        <v>0</v>
      </c>
    </row>
    <row r="40" spans="1:24">
      <c r="A40" s="960">
        <v>34</v>
      </c>
      <c r="B40" s="961" t="s">
        <v>126</v>
      </c>
      <c r="C40" s="1081">
        <f>'2-1-13 SIS'!N40</f>
        <v>0</v>
      </c>
      <c r="D40" s="966">
        <f>'Table 3 Levels 1&amp;2'!AL41</f>
        <v>6003.632932007491</v>
      </c>
      <c r="E40" s="1013">
        <f t="shared" si="15"/>
        <v>0</v>
      </c>
      <c r="F40" s="1013">
        <f>'Table 4 Level 3'!P39</f>
        <v>644.11000000000013</v>
      </c>
      <c r="G40" s="1013">
        <f t="shared" si="16"/>
        <v>0</v>
      </c>
      <c r="H40" s="989">
        <f t="shared" si="17"/>
        <v>0</v>
      </c>
      <c r="I40" s="1023">
        <f t="shared" si="18"/>
        <v>0</v>
      </c>
      <c r="J40" s="989">
        <f t="shared" si="19"/>
        <v>0</v>
      </c>
      <c r="K40" s="989">
        <v>0</v>
      </c>
      <c r="L40" s="989">
        <f t="shared" si="20"/>
        <v>0</v>
      </c>
      <c r="M40" s="989">
        <f t="shared" si="21"/>
        <v>0</v>
      </c>
      <c r="N40" s="1003"/>
      <c r="O40" s="989">
        <f t="shared" si="27"/>
        <v>0</v>
      </c>
      <c r="P40" s="981">
        <f>'Table 5C1A-Madison Prep'!N40</f>
        <v>2817</v>
      </c>
      <c r="Q40" s="983">
        <f t="shared" si="28"/>
        <v>0</v>
      </c>
      <c r="R40" s="1029">
        <f t="shared" si="22"/>
        <v>0</v>
      </c>
      <c r="S40" s="983">
        <f t="shared" si="23"/>
        <v>0</v>
      </c>
      <c r="T40" s="983">
        <v>0</v>
      </c>
      <c r="U40" s="983">
        <f t="shared" si="24"/>
        <v>0</v>
      </c>
      <c r="V40" s="983">
        <f t="shared" si="25"/>
        <v>0</v>
      </c>
      <c r="W40" s="984">
        <f t="shared" si="26"/>
        <v>0</v>
      </c>
      <c r="X40" s="984">
        <f t="shared" si="29"/>
        <v>0</v>
      </c>
    </row>
    <row r="41" spans="1:24">
      <c r="A41" s="963">
        <v>35</v>
      </c>
      <c r="B41" s="964" t="s">
        <v>127</v>
      </c>
      <c r="C41" s="1082">
        <f>'2-1-13 SIS'!N41</f>
        <v>0</v>
      </c>
      <c r="D41" s="967">
        <f>'Table 3 Levels 1&amp;2'!AL42</f>
        <v>4607.1606416222867</v>
      </c>
      <c r="E41" s="1014">
        <f t="shared" si="15"/>
        <v>0</v>
      </c>
      <c r="F41" s="1014">
        <f>'Table 4 Level 3'!P40</f>
        <v>537.96</v>
      </c>
      <c r="G41" s="1014">
        <f t="shared" si="16"/>
        <v>0</v>
      </c>
      <c r="H41" s="990">
        <f t="shared" si="17"/>
        <v>0</v>
      </c>
      <c r="I41" s="1024">
        <f t="shared" si="18"/>
        <v>0</v>
      </c>
      <c r="J41" s="990">
        <f t="shared" si="19"/>
        <v>0</v>
      </c>
      <c r="K41" s="990">
        <v>0</v>
      </c>
      <c r="L41" s="990">
        <f t="shared" si="20"/>
        <v>0</v>
      </c>
      <c r="M41" s="990">
        <f t="shared" si="21"/>
        <v>0</v>
      </c>
      <c r="N41" s="1004"/>
      <c r="O41" s="990">
        <f t="shared" si="27"/>
        <v>0</v>
      </c>
      <c r="P41" s="986">
        <f>'Table 5C1A-Madison Prep'!N41</f>
        <v>3298</v>
      </c>
      <c r="Q41" s="987">
        <f t="shared" si="28"/>
        <v>0</v>
      </c>
      <c r="R41" s="1030">
        <f t="shared" si="22"/>
        <v>0</v>
      </c>
      <c r="S41" s="987">
        <f t="shared" si="23"/>
        <v>0</v>
      </c>
      <c r="T41" s="987">
        <v>0</v>
      </c>
      <c r="U41" s="987">
        <f t="shared" si="24"/>
        <v>0</v>
      </c>
      <c r="V41" s="987">
        <f t="shared" si="25"/>
        <v>0</v>
      </c>
      <c r="W41" s="988">
        <f t="shared" si="26"/>
        <v>0</v>
      </c>
      <c r="X41" s="988">
        <f t="shared" si="29"/>
        <v>0</v>
      </c>
    </row>
    <row r="42" spans="1:24">
      <c r="A42" s="953">
        <v>36</v>
      </c>
      <c r="B42" s="954" t="s">
        <v>128</v>
      </c>
      <c r="C42" s="1083">
        <f>'2-1-13 SIS'!N42</f>
        <v>146</v>
      </c>
      <c r="D42" s="968">
        <f>'Table 3 Levels 1&amp;2'!AL43</f>
        <v>3520.4894337711748</v>
      </c>
      <c r="E42" s="1015">
        <f t="shared" si="15"/>
        <v>513991.45733059151</v>
      </c>
      <c r="F42" s="1015">
        <f>'Table 5B1_RSD_Orleans'!F78</f>
        <v>746.0335616438357</v>
      </c>
      <c r="G42" s="1015">
        <f t="shared" si="16"/>
        <v>108920.90000000001</v>
      </c>
      <c r="H42" s="991">
        <f t="shared" si="17"/>
        <v>622912.35733059153</v>
      </c>
      <c r="I42" s="1025">
        <f t="shared" si="18"/>
        <v>-1557.2808933264789</v>
      </c>
      <c r="J42" s="991">
        <f t="shared" si="19"/>
        <v>621355.07643726503</v>
      </c>
      <c r="K42" s="991">
        <v>0</v>
      </c>
      <c r="L42" s="991">
        <f t="shared" si="20"/>
        <v>621355.07643726503</v>
      </c>
      <c r="M42" s="991">
        <f t="shared" si="21"/>
        <v>51779.589703105419</v>
      </c>
      <c r="N42" s="1005">
        <f>'Table 4A Stipends'!G75</f>
        <v>96000</v>
      </c>
      <c r="O42" s="991">
        <f t="shared" si="27"/>
        <v>717355.07643726503</v>
      </c>
      <c r="P42" s="981">
        <f>'Table 5C1A-Madison Prep'!N42</f>
        <v>5442</v>
      </c>
      <c r="Q42" s="958">
        <f t="shared" si="28"/>
        <v>794532</v>
      </c>
      <c r="R42" s="1028">
        <f t="shared" si="22"/>
        <v>-1986.3300000000002</v>
      </c>
      <c r="S42" s="958">
        <f t="shared" si="23"/>
        <v>792545.67</v>
      </c>
      <c r="T42" s="958">
        <v>0</v>
      </c>
      <c r="U42" s="958">
        <f t="shared" si="24"/>
        <v>792545.67</v>
      </c>
      <c r="V42" s="958">
        <f t="shared" si="25"/>
        <v>66045.472500000003</v>
      </c>
      <c r="W42" s="959">
        <f t="shared" si="26"/>
        <v>1509900.7464372651</v>
      </c>
      <c r="X42" s="959">
        <f t="shared" si="29"/>
        <v>117825.06220310542</v>
      </c>
    </row>
    <row r="43" spans="1:24">
      <c r="A43" s="960">
        <v>37</v>
      </c>
      <c r="B43" s="961" t="s">
        <v>129</v>
      </c>
      <c r="C43" s="1081">
        <f>'2-1-13 SIS'!N43</f>
        <v>0</v>
      </c>
      <c r="D43" s="966">
        <f>'Table 3 Levels 1&amp;2'!AL44</f>
        <v>5503.7595641818853</v>
      </c>
      <c r="E43" s="1013">
        <f t="shared" si="15"/>
        <v>0</v>
      </c>
      <c r="F43" s="1013">
        <f>'Table 4 Level 3'!P42</f>
        <v>653.61</v>
      </c>
      <c r="G43" s="1013">
        <f t="shared" si="16"/>
        <v>0</v>
      </c>
      <c r="H43" s="989">
        <f t="shared" si="17"/>
        <v>0</v>
      </c>
      <c r="I43" s="1023">
        <f t="shared" si="18"/>
        <v>0</v>
      </c>
      <c r="J43" s="989">
        <f t="shared" si="19"/>
        <v>0</v>
      </c>
      <c r="K43" s="989">
        <v>0</v>
      </c>
      <c r="L43" s="989">
        <f t="shared" si="20"/>
        <v>0</v>
      </c>
      <c r="M43" s="989">
        <f t="shared" si="21"/>
        <v>0</v>
      </c>
      <c r="N43" s="1003"/>
      <c r="O43" s="989">
        <f t="shared" si="27"/>
        <v>0</v>
      </c>
      <c r="P43" s="981">
        <f>'Table 5C1A-Madison Prep'!N43</f>
        <v>3227</v>
      </c>
      <c r="Q43" s="983">
        <f t="shared" si="28"/>
        <v>0</v>
      </c>
      <c r="R43" s="1029">
        <f t="shared" si="22"/>
        <v>0</v>
      </c>
      <c r="S43" s="983">
        <f t="shared" si="23"/>
        <v>0</v>
      </c>
      <c r="T43" s="983">
        <v>0</v>
      </c>
      <c r="U43" s="983">
        <f t="shared" si="24"/>
        <v>0</v>
      </c>
      <c r="V43" s="983">
        <f t="shared" si="25"/>
        <v>0</v>
      </c>
      <c r="W43" s="984">
        <f t="shared" si="26"/>
        <v>0</v>
      </c>
      <c r="X43" s="984">
        <f t="shared" si="29"/>
        <v>0</v>
      </c>
    </row>
    <row r="44" spans="1:24">
      <c r="A44" s="960">
        <v>38</v>
      </c>
      <c r="B44" s="961" t="s">
        <v>130</v>
      </c>
      <c r="C44" s="1081">
        <f>'2-1-13 SIS'!N44</f>
        <v>3</v>
      </c>
      <c r="D44" s="966">
        <f>'Table 3 Levels 1&amp;2'!AL45</f>
        <v>2192.7545275590551</v>
      </c>
      <c r="E44" s="1013">
        <f t="shared" si="15"/>
        <v>6578.2635826771657</v>
      </c>
      <c r="F44" s="1013">
        <f>'Table 4 Level 3'!P43</f>
        <v>829.92000000000007</v>
      </c>
      <c r="G44" s="1013">
        <f t="shared" si="16"/>
        <v>2489.7600000000002</v>
      </c>
      <c r="H44" s="989">
        <f t="shared" si="17"/>
        <v>9068.0235826771659</v>
      </c>
      <c r="I44" s="1023">
        <f t="shared" si="18"/>
        <v>-22.670058956692916</v>
      </c>
      <c r="J44" s="989">
        <f t="shared" si="19"/>
        <v>9045.3535237204724</v>
      </c>
      <c r="K44" s="989">
        <v>0</v>
      </c>
      <c r="L44" s="989">
        <f t="shared" si="20"/>
        <v>9045.3535237204724</v>
      </c>
      <c r="M44" s="989">
        <f t="shared" si="21"/>
        <v>753.77946031003933</v>
      </c>
      <c r="N44" s="1003"/>
      <c r="O44" s="989">
        <f t="shared" si="27"/>
        <v>9045.3535237204724</v>
      </c>
      <c r="P44" s="981">
        <f>'Table 5C1A-Madison Prep'!N44</f>
        <v>10867</v>
      </c>
      <c r="Q44" s="983">
        <f t="shared" si="28"/>
        <v>32601</v>
      </c>
      <c r="R44" s="1029">
        <f t="shared" si="22"/>
        <v>-81.502499999999998</v>
      </c>
      <c r="S44" s="983">
        <f t="shared" si="23"/>
        <v>32519.497500000001</v>
      </c>
      <c r="T44" s="983">
        <v>0</v>
      </c>
      <c r="U44" s="983">
        <f t="shared" si="24"/>
        <v>32519.497500000001</v>
      </c>
      <c r="V44" s="983">
        <f t="shared" si="25"/>
        <v>2709.9581250000001</v>
      </c>
      <c r="W44" s="984">
        <f t="shared" si="26"/>
        <v>41564.851023720475</v>
      </c>
      <c r="X44" s="984">
        <f t="shared" si="29"/>
        <v>3463.7375853100393</v>
      </c>
    </row>
    <row r="45" spans="1:24">
      <c r="A45" s="960">
        <v>39</v>
      </c>
      <c r="B45" s="961" t="s">
        <v>131</v>
      </c>
      <c r="C45" s="1081">
        <f>'2-1-13 SIS'!N45</f>
        <v>0</v>
      </c>
      <c r="D45" s="966">
        <f>'Table 3 Levels 1&amp;2'!AL46</f>
        <v>3639.9942778062696</v>
      </c>
      <c r="E45" s="1013">
        <f t="shared" si="15"/>
        <v>0</v>
      </c>
      <c r="F45" s="1013">
        <f>'Table 5B2_RSD_LA'!F21</f>
        <v>779.65573042776441</v>
      </c>
      <c r="G45" s="1013">
        <f t="shared" si="16"/>
        <v>0</v>
      </c>
      <c r="H45" s="989">
        <f t="shared" si="17"/>
        <v>0</v>
      </c>
      <c r="I45" s="1023">
        <f t="shared" si="18"/>
        <v>0</v>
      </c>
      <c r="J45" s="989">
        <f t="shared" si="19"/>
        <v>0</v>
      </c>
      <c r="K45" s="989">
        <v>0</v>
      </c>
      <c r="L45" s="989">
        <f t="shared" si="20"/>
        <v>0</v>
      </c>
      <c r="M45" s="989">
        <f t="shared" si="21"/>
        <v>0</v>
      </c>
      <c r="N45" s="1003"/>
      <c r="O45" s="989">
        <f t="shared" si="27"/>
        <v>0</v>
      </c>
      <c r="P45" s="981">
        <f>'Table 5C1A-Madison Prep'!N45</f>
        <v>4324</v>
      </c>
      <c r="Q45" s="983">
        <f t="shared" si="28"/>
        <v>0</v>
      </c>
      <c r="R45" s="1029">
        <f t="shared" si="22"/>
        <v>0</v>
      </c>
      <c r="S45" s="983">
        <f t="shared" si="23"/>
        <v>0</v>
      </c>
      <c r="T45" s="983">
        <v>0</v>
      </c>
      <c r="U45" s="983">
        <f t="shared" si="24"/>
        <v>0</v>
      </c>
      <c r="V45" s="983">
        <f t="shared" si="25"/>
        <v>0</v>
      </c>
      <c r="W45" s="984">
        <f t="shared" si="26"/>
        <v>0</v>
      </c>
      <c r="X45" s="984">
        <f t="shared" si="29"/>
        <v>0</v>
      </c>
    </row>
    <row r="46" spans="1:24">
      <c r="A46" s="963">
        <v>40</v>
      </c>
      <c r="B46" s="964" t="s">
        <v>132</v>
      </c>
      <c r="C46" s="1082">
        <f>'2-1-13 SIS'!N46</f>
        <v>0</v>
      </c>
      <c r="D46" s="967">
        <f>'Table 3 Levels 1&amp;2'!AL47</f>
        <v>4928.4974462701202</v>
      </c>
      <c r="E46" s="1014">
        <f t="shared" si="15"/>
        <v>0</v>
      </c>
      <c r="F46" s="1014">
        <f>'Table 4 Level 3'!P45</f>
        <v>700.2700000000001</v>
      </c>
      <c r="G46" s="1014">
        <f t="shared" si="16"/>
        <v>0</v>
      </c>
      <c r="H46" s="990">
        <f t="shared" si="17"/>
        <v>0</v>
      </c>
      <c r="I46" s="1024">
        <f t="shared" si="18"/>
        <v>0</v>
      </c>
      <c r="J46" s="990">
        <f t="shared" si="19"/>
        <v>0</v>
      </c>
      <c r="K46" s="990">
        <v>0</v>
      </c>
      <c r="L46" s="990">
        <f t="shared" si="20"/>
        <v>0</v>
      </c>
      <c r="M46" s="990">
        <f t="shared" si="21"/>
        <v>0</v>
      </c>
      <c r="N46" s="1004"/>
      <c r="O46" s="990">
        <f t="shared" si="27"/>
        <v>0</v>
      </c>
      <c r="P46" s="986">
        <f>'Table 5C1A-Madison Prep'!N46</f>
        <v>3007</v>
      </c>
      <c r="Q46" s="987">
        <f t="shared" si="28"/>
        <v>0</v>
      </c>
      <c r="R46" s="1030">
        <f t="shared" si="22"/>
        <v>0</v>
      </c>
      <c r="S46" s="987">
        <f t="shared" si="23"/>
        <v>0</v>
      </c>
      <c r="T46" s="987">
        <v>0</v>
      </c>
      <c r="U46" s="987">
        <f t="shared" si="24"/>
        <v>0</v>
      </c>
      <c r="V46" s="987">
        <f t="shared" si="25"/>
        <v>0</v>
      </c>
      <c r="W46" s="988">
        <f t="shared" si="26"/>
        <v>0</v>
      </c>
      <c r="X46" s="988">
        <f t="shared" si="29"/>
        <v>0</v>
      </c>
    </row>
    <row r="47" spans="1:24">
      <c r="A47" s="953">
        <v>41</v>
      </c>
      <c r="B47" s="954" t="s">
        <v>133</v>
      </c>
      <c r="C47" s="1083">
        <f>'2-1-13 SIS'!N47</f>
        <v>0</v>
      </c>
      <c r="D47" s="968">
        <f>'Table 3 Levels 1&amp;2'!AL48</f>
        <v>1615.6013465627216</v>
      </c>
      <c r="E47" s="1015">
        <f t="shared" si="15"/>
        <v>0</v>
      </c>
      <c r="F47" s="1015">
        <f>'Table 4 Level 3'!P46</f>
        <v>886.22</v>
      </c>
      <c r="G47" s="1015">
        <f t="shared" si="16"/>
        <v>0</v>
      </c>
      <c r="H47" s="991">
        <f t="shared" si="17"/>
        <v>0</v>
      </c>
      <c r="I47" s="1025">
        <f t="shared" si="18"/>
        <v>0</v>
      </c>
      <c r="J47" s="991">
        <f t="shared" si="19"/>
        <v>0</v>
      </c>
      <c r="K47" s="991">
        <v>0</v>
      </c>
      <c r="L47" s="991">
        <f t="shared" si="20"/>
        <v>0</v>
      </c>
      <c r="M47" s="991">
        <f t="shared" si="21"/>
        <v>0</v>
      </c>
      <c r="N47" s="1005"/>
      <c r="O47" s="991">
        <f t="shared" si="27"/>
        <v>0</v>
      </c>
      <c r="P47" s="981">
        <f>'Table 5C1A-Madison Prep'!N47</f>
        <v>9087</v>
      </c>
      <c r="Q47" s="958">
        <f t="shared" si="28"/>
        <v>0</v>
      </c>
      <c r="R47" s="1028">
        <f t="shared" si="22"/>
        <v>0</v>
      </c>
      <c r="S47" s="958">
        <f t="shared" si="23"/>
        <v>0</v>
      </c>
      <c r="T47" s="958">
        <v>0</v>
      </c>
      <c r="U47" s="958">
        <f t="shared" si="24"/>
        <v>0</v>
      </c>
      <c r="V47" s="958">
        <f t="shared" si="25"/>
        <v>0</v>
      </c>
      <c r="W47" s="959">
        <f t="shared" si="26"/>
        <v>0</v>
      </c>
      <c r="X47" s="959">
        <f t="shared" si="29"/>
        <v>0</v>
      </c>
    </row>
    <row r="48" spans="1:24">
      <c r="A48" s="960">
        <v>42</v>
      </c>
      <c r="B48" s="961" t="s">
        <v>134</v>
      </c>
      <c r="C48" s="1081">
        <f>'2-1-13 SIS'!N48</f>
        <v>0</v>
      </c>
      <c r="D48" s="966">
        <f>'Table 3 Levels 1&amp;2'!AL49</f>
        <v>5087.4730460987803</v>
      </c>
      <c r="E48" s="1013">
        <f t="shared" si="15"/>
        <v>0</v>
      </c>
      <c r="F48" s="1013">
        <f>'Table 4 Level 3'!P47</f>
        <v>534.28</v>
      </c>
      <c r="G48" s="1013">
        <f t="shared" si="16"/>
        <v>0</v>
      </c>
      <c r="H48" s="989">
        <f t="shared" si="17"/>
        <v>0</v>
      </c>
      <c r="I48" s="1023">
        <f t="shared" si="18"/>
        <v>0</v>
      </c>
      <c r="J48" s="989">
        <f t="shared" si="19"/>
        <v>0</v>
      </c>
      <c r="K48" s="989">
        <v>0</v>
      </c>
      <c r="L48" s="989">
        <f t="shared" si="20"/>
        <v>0</v>
      </c>
      <c r="M48" s="989">
        <f t="shared" si="21"/>
        <v>0</v>
      </c>
      <c r="N48" s="1003"/>
      <c r="O48" s="989">
        <f t="shared" si="27"/>
        <v>0</v>
      </c>
      <c r="P48" s="981">
        <f>'Table 5C1A-Madison Prep'!N48</f>
        <v>2867</v>
      </c>
      <c r="Q48" s="983">
        <f t="shared" si="28"/>
        <v>0</v>
      </c>
      <c r="R48" s="1029">
        <f t="shared" si="22"/>
        <v>0</v>
      </c>
      <c r="S48" s="983">
        <f t="shared" si="23"/>
        <v>0</v>
      </c>
      <c r="T48" s="983">
        <v>0</v>
      </c>
      <c r="U48" s="983">
        <f t="shared" si="24"/>
        <v>0</v>
      </c>
      <c r="V48" s="983">
        <f t="shared" si="25"/>
        <v>0</v>
      </c>
      <c r="W48" s="984">
        <f t="shared" si="26"/>
        <v>0</v>
      </c>
      <c r="X48" s="984">
        <f t="shared" si="29"/>
        <v>0</v>
      </c>
    </row>
    <row r="49" spans="1:24">
      <c r="A49" s="960">
        <v>43</v>
      </c>
      <c r="B49" s="961" t="s">
        <v>135</v>
      </c>
      <c r="C49" s="1081">
        <f>'2-1-13 SIS'!N49</f>
        <v>0</v>
      </c>
      <c r="D49" s="966">
        <f>'Table 3 Levels 1&amp;2'!AL50</f>
        <v>4717.8414352725031</v>
      </c>
      <c r="E49" s="1013">
        <f t="shared" si="15"/>
        <v>0</v>
      </c>
      <c r="F49" s="1013">
        <f>'Table 4 Level 3'!P48</f>
        <v>574.6099999999999</v>
      </c>
      <c r="G49" s="1013">
        <f t="shared" si="16"/>
        <v>0</v>
      </c>
      <c r="H49" s="989">
        <f t="shared" si="17"/>
        <v>0</v>
      </c>
      <c r="I49" s="1023">
        <f t="shared" si="18"/>
        <v>0</v>
      </c>
      <c r="J49" s="989">
        <f t="shared" si="19"/>
        <v>0</v>
      </c>
      <c r="K49" s="989">
        <v>0</v>
      </c>
      <c r="L49" s="989">
        <f t="shared" si="20"/>
        <v>0</v>
      </c>
      <c r="M49" s="989">
        <f t="shared" si="21"/>
        <v>0</v>
      </c>
      <c r="N49" s="1003"/>
      <c r="O49" s="989">
        <f t="shared" si="27"/>
        <v>0</v>
      </c>
      <c r="P49" s="981">
        <f>'Table 5C1A-Madison Prep'!N49</f>
        <v>3587</v>
      </c>
      <c r="Q49" s="983">
        <f t="shared" si="28"/>
        <v>0</v>
      </c>
      <c r="R49" s="1029">
        <f t="shared" si="22"/>
        <v>0</v>
      </c>
      <c r="S49" s="983">
        <f t="shared" si="23"/>
        <v>0</v>
      </c>
      <c r="T49" s="983">
        <v>0</v>
      </c>
      <c r="U49" s="983">
        <f t="shared" si="24"/>
        <v>0</v>
      </c>
      <c r="V49" s="983">
        <f t="shared" si="25"/>
        <v>0</v>
      </c>
      <c r="W49" s="984">
        <f t="shared" si="26"/>
        <v>0</v>
      </c>
      <c r="X49" s="984">
        <f t="shared" si="29"/>
        <v>0</v>
      </c>
    </row>
    <row r="50" spans="1:24">
      <c r="A50" s="960">
        <v>44</v>
      </c>
      <c r="B50" s="961" t="s">
        <v>136</v>
      </c>
      <c r="C50" s="1081">
        <f>'2-1-13 SIS'!N50</f>
        <v>2</v>
      </c>
      <c r="D50" s="966">
        <f>'Table 3 Levels 1&amp;2'!AL51</f>
        <v>4696.6221228259064</v>
      </c>
      <c r="E50" s="1013">
        <f t="shared" si="15"/>
        <v>9393.2442456518129</v>
      </c>
      <c r="F50" s="1013">
        <f>'Table 4 Level 3'!P49</f>
        <v>663.16000000000008</v>
      </c>
      <c r="G50" s="1013">
        <f t="shared" si="16"/>
        <v>1326.3200000000002</v>
      </c>
      <c r="H50" s="989">
        <f t="shared" si="17"/>
        <v>10719.564245651813</v>
      </c>
      <c r="I50" s="1023">
        <f t="shared" si="18"/>
        <v>-26.798910614129532</v>
      </c>
      <c r="J50" s="989">
        <f t="shared" si="19"/>
        <v>10692.765335037682</v>
      </c>
      <c r="K50" s="989">
        <v>0</v>
      </c>
      <c r="L50" s="989">
        <f t="shared" si="20"/>
        <v>10692.765335037682</v>
      </c>
      <c r="M50" s="989">
        <f t="shared" si="21"/>
        <v>891.06377791980685</v>
      </c>
      <c r="N50" s="1003"/>
      <c r="O50" s="989">
        <f t="shared" si="27"/>
        <v>10692.765335037682</v>
      </c>
      <c r="P50" s="981">
        <f>'Table 5C1A-Madison Prep'!N50</f>
        <v>4561</v>
      </c>
      <c r="Q50" s="983">
        <f t="shared" si="28"/>
        <v>9122</v>
      </c>
      <c r="R50" s="1029">
        <f t="shared" si="22"/>
        <v>-22.805</v>
      </c>
      <c r="S50" s="983">
        <f t="shared" si="23"/>
        <v>9099.1949999999997</v>
      </c>
      <c r="T50" s="983">
        <v>0</v>
      </c>
      <c r="U50" s="983">
        <f t="shared" si="24"/>
        <v>9099.1949999999997</v>
      </c>
      <c r="V50" s="983">
        <f t="shared" si="25"/>
        <v>758.26625000000001</v>
      </c>
      <c r="W50" s="984">
        <f t="shared" si="26"/>
        <v>19791.960335037682</v>
      </c>
      <c r="X50" s="984">
        <f t="shared" si="29"/>
        <v>1649.330027919807</v>
      </c>
    </row>
    <row r="51" spans="1:24">
      <c r="A51" s="963">
        <v>45</v>
      </c>
      <c r="B51" s="964" t="s">
        <v>137</v>
      </c>
      <c r="C51" s="1082">
        <f>'2-1-13 SIS'!N51</f>
        <v>1</v>
      </c>
      <c r="D51" s="967">
        <f>'Table 3 Levels 1&amp;2'!AL52</f>
        <v>2192.4914538932262</v>
      </c>
      <c r="E51" s="1014">
        <f t="shared" si="15"/>
        <v>2192.4914538932262</v>
      </c>
      <c r="F51" s="1014">
        <f>'Table 4 Level 3'!P50</f>
        <v>753.96000000000015</v>
      </c>
      <c r="G51" s="1014">
        <f t="shared" si="16"/>
        <v>753.96000000000015</v>
      </c>
      <c r="H51" s="990">
        <f t="shared" si="17"/>
        <v>2946.4514538932262</v>
      </c>
      <c r="I51" s="1024">
        <f t="shared" si="18"/>
        <v>-7.3661286347330659</v>
      </c>
      <c r="J51" s="990">
        <f t="shared" si="19"/>
        <v>2939.085325258493</v>
      </c>
      <c r="K51" s="990">
        <v>0</v>
      </c>
      <c r="L51" s="990">
        <f t="shared" si="20"/>
        <v>2939.085325258493</v>
      </c>
      <c r="M51" s="990">
        <f t="shared" si="21"/>
        <v>244.9237771048744</v>
      </c>
      <c r="N51" s="1004"/>
      <c r="O51" s="990">
        <f t="shared" si="27"/>
        <v>2939.085325258493</v>
      </c>
      <c r="P51" s="986">
        <f>'Table 5C1A-Madison Prep'!N51</f>
        <v>11287</v>
      </c>
      <c r="Q51" s="987">
        <f t="shared" si="28"/>
        <v>11287</v>
      </c>
      <c r="R51" s="1030">
        <f t="shared" si="22"/>
        <v>-28.217500000000001</v>
      </c>
      <c r="S51" s="987">
        <f t="shared" si="23"/>
        <v>11258.782499999999</v>
      </c>
      <c r="T51" s="987">
        <v>0</v>
      </c>
      <c r="U51" s="987">
        <f t="shared" si="24"/>
        <v>11258.782499999999</v>
      </c>
      <c r="V51" s="987">
        <f t="shared" si="25"/>
        <v>938.23187499999995</v>
      </c>
      <c r="W51" s="988">
        <f t="shared" si="26"/>
        <v>14197.867825258492</v>
      </c>
      <c r="X51" s="988">
        <f t="shared" si="29"/>
        <v>1183.1556521048744</v>
      </c>
    </row>
    <row r="52" spans="1:24">
      <c r="A52" s="953">
        <v>46</v>
      </c>
      <c r="B52" s="954" t="s">
        <v>138</v>
      </c>
      <c r="C52" s="1083">
        <f>'2-1-13 SIS'!N52</f>
        <v>0</v>
      </c>
      <c r="D52" s="968">
        <f>'Table 3 Levels 1&amp;2'!AL53</f>
        <v>5644.6599115241634</v>
      </c>
      <c r="E52" s="1015">
        <f t="shared" si="15"/>
        <v>0</v>
      </c>
      <c r="F52" s="1015">
        <f>'Table 4 Level 3'!P51</f>
        <v>728.06</v>
      </c>
      <c r="G52" s="1015">
        <f t="shared" si="16"/>
        <v>0</v>
      </c>
      <c r="H52" s="991">
        <f t="shared" si="17"/>
        <v>0</v>
      </c>
      <c r="I52" s="1025">
        <f t="shared" si="18"/>
        <v>0</v>
      </c>
      <c r="J52" s="991">
        <f t="shared" si="19"/>
        <v>0</v>
      </c>
      <c r="K52" s="991">
        <v>0</v>
      </c>
      <c r="L52" s="991">
        <f t="shared" si="20"/>
        <v>0</v>
      </c>
      <c r="M52" s="991">
        <f t="shared" si="21"/>
        <v>0</v>
      </c>
      <c r="N52" s="1005"/>
      <c r="O52" s="991">
        <f t="shared" si="27"/>
        <v>0</v>
      </c>
      <c r="P52" s="981">
        <f>'Table 5C1A-Madison Prep'!N52</f>
        <v>2150</v>
      </c>
      <c r="Q52" s="958">
        <f t="shared" si="28"/>
        <v>0</v>
      </c>
      <c r="R52" s="1028">
        <f t="shared" si="22"/>
        <v>0</v>
      </c>
      <c r="S52" s="958">
        <f t="shared" si="23"/>
        <v>0</v>
      </c>
      <c r="T52" s="958">
        <v>0</v>
      </c>
      <c r="U52" s="958">
        <f t="shared" si="24"/>
        <v>0</v>
      </c>
      <c r="V52" s="958">
        <f t="shared" si="25"/>
        <v>0</v>
      </c>
      <c r="W52" s="959">
        <f t="shared" si="26"/>
        <v>0</v>
      </c>
      <c r="X52" s="959">
        <f t="shared" si="29"/>
        <v>0</v>
      </c>
    </row>
    <row r="53" spans="1:24">
      <c r="A53" s="960">
        <v>47</v>
      </c>
      <c r="B53" s="961" t="s">
        <v>139</v>
      </c>
      <c r="C53" s="1081">
        <f>'2-1-13 SIS'!N53</f>
        <v>0</v>
      </c>
      <c r="D53" s="966">
        <f>'Table 3 Levels 1&amp;2'!AL54</f>
        <v>2731.2444076222037</v>
      </c>
      <c r="E53" s="1013">
        <f t="shared" si="15"/>
        <v>0</v>
      </c>
      <c r="F53" s="1013">
        <f>'Table 4 Level 3'!P52</f>
        <v>910.76</v>
      </c>
      <c r="G53" s="1013">
        <f t="shared" si="16"/>
        <v>0</v>
      </c>
      <c r="H53" s="989">
        <f t="shared" si="17"/>
        <v>0</v>
      </c>
      <c r="I53" s="1023">
        <f t="shared" si="18"/>
        <v>0</v>
      </c>
      <c r="J53" s="989">
        <f t="shared" si="19"/>
        <v>0</v>
      </c>
      <c r="K53" s="989">
        <v>0</v>
      </c>
      <c r="L53" s="989">
        <f t="shared" si="20"/>
        <v>0</v>
      </c>
      <c r="M53" s="989">
        <f t="shared" si="21"/>
        <v>0</v>
      </c>
      <c r="N53" s="1003"/>
      <c r="O53" s="989">
        <f t="shared" si="27"/>
        <v>0</v>
      </c>
      <c r="P53" s="981">
        <f>'Table 5C1A-Madison Prep'!N53</f>
        <v>13280</v>
      </c>
      <c r="Q53" s="983">
        <f t="shared" si="28"/>
        <v>0</v>
      </c>
      <c r="R53" s="1029">
        <f t="shared" si="22"/>
        <v>0</v>
      </c>
      <c r="S53" s="983">
        <f t="shared" si="23"/>
        <v>0</v>
      </c>
      <c r="T53" s="983">
        <v>0</v>
      </c>
      <c r="U53" s="983">
        <f t="shared" si="24"/>
        <v>0</v>
      </c>
      <c r="V53" s="983">
        <f t="shared" si="25"/>
        <v>0</v>
      </c>
      <c r="W53" s="984">
        <f t="shared" si="26"/>
        <v>0</v>
      </c>
      <c r="X53" s="984">
        <f t="shared" si="29"/>
        <v>0</v>
      </c>
    </row>
    <row r="54" spans="1:24">
      <c r="A54" s="960">
        <v>48</v>
      </c>
      <c r="B54" s="961" t="s">
        <v>197</v>
      </c>
      <c r="C54" s="1081">
        <f>'2-1-13 SIS'!N54</f>
        <v>0</v>
      </c>
      <c r="D54" s="966">
        <f>'Table 3 Levels 1&amp;2'!AL55</f>
        <v>4272.723323083942</v>
      </c>
      <c r="E54" s="1013">
        <f t="shared" si="15"/>
        <v>0</v>
      </c>
      <c r="F54" s="1013">
        <f>'Table 4 Level 3'!P53</f>
        <v>871.07</v>
      </c>
      <c r="G54" s="1013">
        <f t="shared" si="16"/>
        <v>0</v>
      </c>
      <c r="H54" s="989">
        <f t="shared" si="17"/>
        <v>0</v>
      </c>
      <c r="I54" s="1023">
        <f t="shared" si="18"/>
        <v>0</v>
      </c>
      <c r="J54" s="989">
        <f t="shared" si="19"/>
        <v>0</v>
      </c>
      <c r="K54" s="989">
        <v>0</v>
      </c>
      <c r="L54" s="989">
        <f t="shared" si="20"/>
        <v>0</v>
      </c>
      <c r="M54" s="989">
        <f t="shared" si="21"/>
        <v>0</v>
      </c>
      <c r="N54" s="1003"/>
      <c r="O54" s="989">
        <f t="shared" si="27"/>
        <v>0</v>
      </c>
      <c r="P54" s="981">
        <f>'Table 5C1A-Madison Prep'!N54</f>
        <v>6453</v>
      </c>
      <c r="Q54" s="983">
        <f t="shared" si="28"/>
        <v>0</v>
      </c>
      <c r="R54" s="1029">
        <f t="shared" si="22"/>
        <v>0</v>
      </c>
      <c r="S54" s="983">
        <f t="shared" si="23"/>
        <v>0</v>
      </c>
      <c r="T54" s="983">
        <v>0</v>
      </c>
      <c r="U54" s="983">
        <f t="shared" si="24"/>
        <v>0</v>
      </c>
      <c r="V54" s="983">
        <f t="shared" si="25"/>
        <v>0</v>
      </c>
      <c r="W54" s="984">
        <f t="shared" si="26"/>
        <v>0</v>
      </c>
      <c r="X54" s="984">
        <f t="shared" si="29"/>
        <v>0</v>
      </c>
    </row>
    <row r="55" spans="1:24">
      <c r="A55" s="960">
        <v>49</v>
      </c>
      <c r="B55" s="961" t="s">
        <v>140</v>
      </c>
      <c r="C55" s="1081">
        <f>'2-1-13 SIS'!N55</f>
        <v>0</v>
      </c>
      <c r="D55" s="966">
        <f>'Table 3 Levels 1&amp;2'!AL56</f>
        <v>4836.7092570332552</v>
      </c>
      <c r="E55" s="1013">
        <f t="shared" si="15"/>
        <v>0</v>
      </c>
      <c r="F55" s="1013">
        <f>'Table 4 Level 3'!P54</f>
        <v>574.43999999999994</v>
      </c>
      <c r="G55" s="1013">
        <f t="shared" si="16"/>
        <v>0</v>
      </c>
      <c r="H55" s="989">
        <f t="shared" si="17"/>
        <v>0</v>
      </c>
      <c r="I55" s="1023">
        <f t="shared" si="18"/>
        <v>0</v>
      </c>
      <c r="J55" s="989">
        <f t="shared" si="19"/>
        <v>0</v>
      </c>
      <c r="K55" s="989">
        <v>0</v>
      </c>
      <c r="L55" s="989">
        <f t="shared" si="20"/>
        <v>0</v>
      </c>
      <c r="M55" s="989">
        <f t="shared" si="21"/>
        <v>0</v>
      </c>
      <c r="N55" s="1003"/>
      <c r="O55" s="989">
        <f t="shared" si="27"/>
        <v>0</v>
      </c>
      <c r="P55" s="981">
        <f>'Table 5C1A-Madison Prep'!N55</f>
        <v>2287</v>
      </c>
      <c r="Q55" s="983">
        <f t="shared" si="28"/>
        <v>0</v>
      </c>
      <c r="R55" s="1029">
        <f t="shared" si="22"/>
        <v>0</v>
      </c>
      <c r="S55" s="983">
        <f t="shared" si="23"/>
        <v>0</v>
      </c>
      <c r="T55" s="983">
        <v>0</v>
      </c>
      <c r="U55" s="983">
        <f t="shared" si="24"/>
        <v>0</v>
      </c>
      <c r="V55" s="983">
        <f t="shared" si="25"/>
        <v>0</v>
      </c>
      <c r="W55" s="984">
        <f t="shared" si="26"/>
        <v>0</v>
      </c>
      <c r="X55" s="984">
        <f t="shared" si="29"/>
        <v>0</v>
      </c>
    </row>
    <row r="56" spans="1:24">
      <c r="A56" s="963">
        <v>50</v>
      </c>
      <c r="B56" s="964" t="s">
        <v>141</v>
      </c>
      <c r="C56" s="1082">
        <f>'2-1-13 SIS'!N56</f>
        <v>0</v>
      </c>
      <c r="D56" s="967">
        <f>'Table 3 Levels 1&amp;2'!AL57</f>
        <v>5032.6862895017111</v>
      </c>
      <c r="E56" s="1014">
        <f t="shared" si="15"/>
        <v>0</v>
      </c>
      <c r="F56" s="1014">
        <f>'Table 4 Level 3'!P55</f>
        <v>634.46</v>
      </c>
      <c r="G56" s="1014">
        <f t="shared" si="16"/>
        <v>0</v>
      </c>
      <c r="H56" s="990">
        <f t="shared" si="17"/>
        <v>0</v>
      </c>
      <c r="I56" s="1024">
        <f t="shared" si="18"/>
        <v>0</v>
      </c>
      <c r="J56" s="990">
        <f t="shared" si="19"/>
        <v>0</v>
      </c>
      <c r="K56" s="990">
        <v>0</v>
      </c>
      <c r="L56" s="990">
        <f t="shared" si="20"/>
        <v>0</v>
      </c>
      <c r="M56" s="990">
        <f t="shared" si="21"/>
        <v>0</v>
      </c>
      <c r="N56" s="1004"/>
      <c r="O56" s="990">
        <f t="shared" si="27"/>
        <v>0</v>
      </c>
      <c r="P56" s="986">
        <f>'Table 5C1A-Madison Prep'!N56</f>
        <v>2801</v>
      </c>
      <c r="Q56" s="987">
        <f t="shared" si="28"/>
        <v>0</v>
      </c>
      <c r="R56" s="1030">
        <f t="shared" si="22"/>
        <v>0</v>
      </c>
      <c r="S56" s="987">
        <f t="shared" si="23"/>
        <v>0</v>
      </c>
      <c r="T56" s="987">
        <v>0</v>
      </c>
      <c r="U56" s="987">
        <f t="shared" si="24"/>
        <v>0</v>
      </c>
      <c r="V56" s="987">
        <f t="shared" si="25"/>
        <v>0</v>
      </c>
      <c r="W56" s="988">
        <f t="shared" si="26"/>
        <v>0</v>
      </c>
      <c r="X56" s="988">
        <f t="shared" si="29"/>
        <v>0</v>
      </c>
    </row>
    <row r="57" spans="1:24">
      <c r="A57" s="953">
        <v>51</v>
      </c>
      <c r="B57" s="954" t="s">
        <v>142</v>
      </c>
      <c r="C57" s="1083">
        <f>'2-1-13 SIS'!N57</f>
        <v>0</v>
      </c>
      <c r="D57" s="968">
        <f>'Table 3 Levels 1&amp;2'!AL58</f>
        <v>4246.0339872793602</v>
      </c>
      <c r="E57" s="1015">
        <f t="shared" si="15"/>
        <v>0</v>
      </c>
      <c r="F57" s="1015">
        <f>'Table 4 Level 3'!P56</f>
        <v>706.66</v>
      </c>
      <c r="G57" s="1015">
        <f t="shared" si="16"/>
        <v>0</v>
      </c>
      <c r="H57" s="991">
        <f t="shared" si="17"/>
        <v>0</v>
      </c>
      <c r="I57" s="1025">
        <f t="shared" si="18"/>
        <v>0</v>
      </c>
      <c r="J57" s="991">
        <f t="shared" si="19"/>
        <v>0</v>
      </c>
      <c r="K57" s="991">
        <v>0</v>
      </c>
      <c r="L57" s="991">
        <f t="shared" si="20"/>
        <v>0</v>
      </c>
      <c r="M57" s="991">
        <f t="shared" si="21"/>
        <v>0</v>
      </c>
      <c r="N57" s="1005"/>
      <c r="O57" s="991">
        <f t="shared" si="27"/>
        <v>0</v>
      </c>
      <c r="P57" s="981">
        <f>'Table 5C1A-Madison Prep'!N57</f>
        <v>4215</v>
      </c>
      <c r="Q57" s="958">
        <f t="shared" si="28"/>
        <v>0</v>
      </c>
      <c r="R57" s="1028">
        <f t="shared" si="22"/>
        <v>0</v>
      </c>
      <c r="S57" s="958">
        <f t="shared" si="23"/>
        <v>0</v>
      </c>
      <c r="T57" s="958">
        <v>0</v>
      </c>
      <c r="U57" s="958">
        <f t="shared" si="24"/>
        <v>0</v>
      </c>
      <c r="V57" s="958">
        <f t="shared" si="25"/>
        <v>0</v>
      </c>
      <c r="W57" s="959">
        <f t="shared" si="26"/>
        <v>0</v>
      </c>
      <c r="X57" s="959">
        <f t="shared" si="29"/>
        <v>0</v>
      </c>
    </row>
    <row r="58" spans="1:24">
      <c r="A58" s="960">
        <v>52</v>
      </c>
      <c r="B58" s="961" t="s">
        <v>143</v>
      </c>
      <c r="C58" s="1081">
        <f>'2-1-13 SIS'!N58</f>
        <v>1</v>
      </c>
      <c r="D58" s="966">
        <f>'Table 3 Levels 1&amp;2'!AL59</f>
        <v>5013.4438050113249</v>
      </c>
      <c r="E58" s="1013">
        <f t="shared" si="15"/>
        <v>5013.4438050113249</v>
      </c>
      <c r="F58" s="1013">
        <f>'Table 4 Level 3'!P57</f>
        <v>658.37</v>
      </c>
      <c r="G58" s="1013">
        <f t="shared" si="16"/>
        <v>658.37</v>
      </c>
      <c r="H58" s="989">
        <f t="shared" si="17"/>
        <v>5671.8138050113248</v>
      </c>
      <c r="I58" s="1023">
        <f t="shared" si="18"/>
        <v>-14.179534512528312</v>
      </c>
      <c r="J58" s="989">
        <f t="shared" si="19"/>
        <v>5657.6342704987965</v>
      </c>
      <c r="K58" s="989">
        <v>0</v>
      </c>
      <c r="L58" s="989">
        <f t="shared" si="20"/>
        <v>5657.6342704987965</v>
      </c>
      <c r="M58" s="989">
        <f t="shared" si="21"/>
        <v>471.46952254156639</v>
      </c>
      <c r="N58" s="1003"/>
      <c r="O58" s="989">
        <f t="shared" si="27"/>
        <v>5657.6342704987965</v>
      </c>
      <c r="P58" s="981">
        <f>'Table 5C1A-Madison Prep'!N58</f>
        <v>4889</v>
      </c>
      <c r="Q58" s="983">
        <f t="shared" si="28"/>
        <v>4889</v>
      </c>
      <c r="R58" s="1029">
        <f t="shared" si="22"/>
        <v>-12.2225</v>
      </c>
      <c r="S58" s="983">
        <f t="shared" si="23"/>
        <v>4876.7775000000001</v>
      </c>
      <c r="T58" s="983">
        <v>0</v>
      </c>
      <c r="U58" s="983">
        <f t="shared" si="24"/>
        <v>4876.7775000000001</v>
      </c>
      <c r="V58" s="983">
        <f t="shared" si="25"/>
        <v>406.39812499999999</v>
      </c>
      <c r="W58" s="984">
        <f t="shared" si="26"/>
        <v>10534.411770498797</v>
      </c>
      <c r="X58" s="984">
        <f t="shared" si="29"/>
        <v>877.86764754156638</v>
      </c>
    </row>
    <row r="59" spans="1:24">
      <c r="A59" s="960">
        <v>53</v>
      </c>
      <c r="B59" s="961" t="s">
        <v>144</v>
      </c>
      <c r="C59" s="1081">
        <f>'2-1-13 SIS'!N59</f>
        <v>0</v>
      </c>
      <c r="D59" s="966">
        <f>'Table 3 Levels 1&amp;2'!AL60</f>
        <v>4775.5877635581091</v>
      </c>
      <c r="E59" s="1013">
        <f t="shared" si="15"/>
        <v>0</v>
      </c>
      <c r="F59" s="1013">
        <f>'Table 4 Level 3'!P58</f>
        <v>689.74</v>
      </c>
      <c r="G59" s="1013">
        <f t="shared" si="16"/>
        <v>0</v>
      </c>
      <c r="H59" s="989">
        <f t="shared" si="17"/>
        <v>0</v>
      </c>
      <c r="I59" s="1023">
        <f t="shared" si="18"/>
        <v>0</v>
      </c>
      <c r="J59" s="989">
        <f t="shared" si="19"/>
        <v>0</v>
      </c>
      <c r="K59" s="989">
        <v>0</v>
      </c>
      <c r="L59" s="989">
        <f t="shared" si="20"/>
        <v>0</v>
      </c>
      <c r="M59" s="989">
        <f t="shared" si="21"/>
        <v>0</v>
      </c>
      <c r="N59" s="1003"/>
      <c r="O59" s="989">
        <f t="shared" si="27"/>
        <v>0</v>
      </c>
      <c r="P59" s="981">
        <f>'Table 5C1A-Madison Prep'!N59</f>
        <v>2119</v>
      </c>
      <c r="Q59" s="983">
        <f t="shared" si="28"/>
        <v>0</v>
      </c>
      <c r="R59" s="1029">
        <f t="shared" si="22"/>
        <v>0</v>
      </c>
      <c r="S59" s="983">
        <f t="shared" si="23"/>
        <v>0</v>
      </c>
      <c r="T59" s="983">
        <v>0</v>
      </c>
      <c r="U59" s="983">
        <f t="shared" si="24"/>
        <v>0</v>
      </c>
      <c r="V59" s="983">
        <f t="shared" si="25"/>
        <v>0</v>
      </c>
      <c r="W59" s="984">
        <f t="shared" si="26"/>
        <v>0</v>
      </c>
      <c r="X59" s="984">
        <f t="shared" si="29"/>
        <v>0</v>
      </c>
    </row>
    <row r="60" spans="1:24">
      <c r="A60" s="960">
        <v>54</v>
      </c>
      <c r="B60" s="961" t="s">
        <v>145</v>
      </c>
      <c r="C60" s="1081">
        <f>'2-1-13 SIS'!N60</f>
        <v>0</v>
      </c>
      <c r="D60" s="966">
        <f>'Table 3 Levels 1&amp;2'!AL61</f>
        <v>5951.8009386275662</v>
      </c>
      <c r="E60" s="1013">
        <f t="shared" si="15"/>
        <v>0</v>
      </c>
      <c r="F60" s="1013">
        <f>'Table 4 Level 3'!P59</f>
        <v>951.45</v>
      </c>
      <c r="G60" s="1013">
        <f t="shared" si="16"/>
        <v>0</v>
      </c>
      <c r="H60" s="989">
        <f t="shared" si="17"/>
        <v>0</v>
      </c>
      <c r="I60" s="1023">
        <f t="shared" si="18"/>
        <v>0</v>
      </c>
      <c r="J60" s="989">
        <f t="shared" si="19"/>
        <v>0</v>
      </c>
      <c r="K60" s="989">
        <v>0</v>
      </c>
      <c r="L60" s="989">
        <f t="shared" si="20"/>
        <v>0</v>
      </c>
      <c r="M60" s="989">
        <f t="shared" si="21"/>
        <v>0</v>
      </c>
      <c r="N60" s="1003"/>
      <c r="O60" s="989">
        <f t="shared" si="27"/>
        <v>0</v>
      </c>
      <c r="P60" s="981">
        <f>'Table 5C1A-Madison Prep'!N60</f>
        <v>3690</v>
      </c>
      <c r="Q60" s="983">
        <f t="shared" si="28"/>
        <v>0</v>
      </c>
      <c r="R60" s="1029">
        <f t="shared" si="22"/>
        <v>0</v>
      </c>
      <c r="S60" s="983">
        <f t="shared" si="23"/>
        <v>0</v>
      </c>
      <c r="T60" s="983">
        <v>0</v>
      </c>
      <c r="U60" s="983">
        <f t="shared" si="24"/>
        <v>0</v>
      </c>
      <c r="V60" s="983">
        <f t="shared" si="25"/>
        <v>0</v>
      </c>
      <c r="W60" s="984">
        <f t="shared" si="26"/>
        <v>0</v>
      </c>
      <c r="X60" s="984">
        <f t="shared" si="29"/>
        <v>0</v>
      </c>
    </row>
    <row r="61" spans="1:24">
      <c r="A61" s="963">
        <v>55</v>
      </c>
      <c r="B61" s="964" t="s">
        <v>146</v>
      </c>
      <c r="C61" s="1082">
        <f>'2-1-13 SIS'!N61</f>
        <v>0</v>
      </c>
      <c r="D61" s="967">
        <f>'Table 3 Levels 1&amp;2'!AL62</f>
        <v>4171.0434735233157</v>
      </c>
      <c r="E61" s="1014">
        <f t="shared" si="15"/>
        <v>0</v>
      </c>
      <c r="F61" s="1014">
        <f>'Table 4 Level 3'!P60</f>
        <v>795.14</v>
      </c>
      <c r="G61" s="1014">
        <f t="shared" si="16"/>
        <v>0</v>
      </c>
      <c r="H61" s="990">
        <f t="shared" si="17"/>
        <v>0</v>
      </c>
      <c r="I61" s="1024">
        <f t="shared" si="18"/>
        <v>0</v>
      </c>
      <c r="J61" s="990">
        <f t="shared" si="19"/>
        <v>0</v>
      </c>
      <c r="K61" s="990">
        <v>0</v>
      </c>
      <c r="L61" s="990">
        <f t="shared" si="20"/>
        <v>0</v>
      </c>
      <c r="M61" s="990">
        <f t="shared" si="21"/>
        <v>0</v>
      </c>
      <c r="N61" s="1004"/>
      <c r="O61" s="990">
        <f t="shared" si="27"/>
        <v>0</v>
      </c>
      <c r="P61" s="986">
        <f>'Table 5C1A-Madison Prep'!N61</f>
        <v>3157</v>
      </c>
      <c r="Q61" s="987">
        <f t="shared" si="28"/>
        <v>0</v>
      </c>
      <c r="R61" s="1030">
        <f t="shared" si="22"/>
        <v>0</v>
      </c>
      <c r="S61" s="987">
        <f t="shared" si="23"/>
        <v>0</v>
      </c>
      <c r="T61" s="987">
        <v>0</v>
      </c>
      <c r="U61" s="987">
        <f t="shared" si="24"/>
        <v>0</v>
      </c>
      <c r="V61" s="987">
        <f t="shared" si="25"/>
        <v>0</v>
      </c>
      <c r="W61" s="988">
        <f t="shared" si="26"/>
        <v>0</v>
      </c>
      <c r="X61" s="988">
        <f t="shared" si="29"/>
        <v>0</v>
      </c>
    </row>
    <row r="62" spans="1:24">
      <c r="A62" s="953">
        <v>56</v>
      </c>
      <c r="B62" s="954" t="s">
        <v>147</v>
      </c>
      <c r="C62" s="1083">
        <f>'2-1-13 SIS'!N62</f>
        <v>0</v>
      </c>
      <c r="D62" s="968">
        <f>'Table 3 Levels 1&amp;2'!AL63</f>
        <v>4968.593189672727</v>
      </c>
      <c r="E62" s="1015">
        <f t="shared" si="15"/>
        <v>0</v>
      </c>
      <c r="F62" s="1015">
        <f>'Table 4 Level 3'!P61</f>
        <v>614.66000000000008</v>
      </c>
      <c r="G62" s="1015">
        <f t="shared" si="16"/>
        <v>0</v>
      </c>
      <c r="H62" s="991">
        <f t="shared" si="17"/>
        <v>0</v>
      </c>
      <c r="I62" s="1025">
        <f t="shared" si="18"/>
        <v>0</v>
      </c>
      <c r="J62" s="991">
        <f t="shared" si="19"/>
        <v>0</v>
      </c>
      <c r="K62" s="991">
        <v>0</v>
      </c>
      <c r="L62" s="991">
        <f t="shared" si="20"/>
        <v>0</v>
      </c>
      <c r="M62" s="991">
        <f t="shared" si="21"/>
        <v>0</v>
      </c>
      <c r="N62" s="1005"/>
      <c r="O62" s="991">
        <f t="shared" si="27"/>
        <v>0</v>
      </c>
      <c r="P62" s="981">
        <f>'Table 5C1A-Madison Prep'!N62</f>
        <v>2779</v>
      </c>
      <c r="Q62" s="958">
        <f t="shared" si="28"/>
        <v>0</v>
      </c>
      <c r="R62" s="1028">
        <f t="shared" si="22"/>
        <v>0</v>
      </c>
      <c r="S62" s="958">
        <f t="shared" si="23"/>
        <v>0</v>
      </c>
      <c r="T62" s="958">
        <v>0</v>
      </c>
      <c r="U62" s="958">
        <f t="shared" si="24"/>
        <v>0</v>
      </c>
      <c r="V62" s="958">
        <f t="shared" si="25"/>
        <v>0</v>
      </c>
      <c r="W62" s="959">
        <f t="shared" si="26"/>
        <v>0</v>
      </c>
      <c r="X62" s="959">
        <f t="shared" si="29"/>
        <v>0</v>
      </c>
    </row>
    <row r="63" spans="1:24">
      <c r="A63" s="960">
        <v>57</v>
      </c>
      <c r="B63" s="961" t="s">
        <v>148</v>
      </c>
      <c r="C63" s="1081">
        <f>'2-1-13 SIS'!N63</f>
        <v>0</v>
      </c>
      <c r="D63" s="966">
        <f>'Table 3 Levels 1&amp;2'!AL64</f>
        <v>4485.7073020218859</v>
      </c>
      <c r="E63" s="1013">
        <f t="shared" si="15"/>
        <v>0</v>
      </c>
      <c r="F63" s="1013">
        <f>'Table 4 Level 3'!P62</f>
        <v>764.51</v>
      </c>
      <c r="G63" s="1013">
        <f t="shared" si="16"/>
        <v>0</v>
      </c>
      <c r="H63" s="989">
        <f t="shared" si="17"/>
        <v>0</v>
      </c>
      <c r="I63" s="1023">
        <f t="shared" si="18"/>
        <v>0</v>
      </c>
      <c r="J63" s="989">
        <f t="shared" si="19"/>
        <v>0</v>
      </c>
      <c r="K63" s="989">
        <v>0</v>
      </c>
      <c r="L63" s="989">
        <f t="shared" si="20"/>
        <v>0</v>
      </c>
      <c r="M63" s="989">
        <f t="shared" si="21"/>
        <v>0</v>
      </c>
      <c r="N63" s="1003"/>
      <c r="O63" s="989">
        <f t="shared" si="27"/>
        <v>0</v>
      </c>
      <c r="P63" s="981">
        <f>'Table 5C1A-Madison Prep'!N63</f>
        <v>3107</v>
      </c>
      <c r="Q63" s="983">
        <f t="shared" si="28"/>
        <v>0</v>
      </c>
      <c r="R63" s="1029">
        <f t="shared" si="22"/>
        <v>0</v>
      </c>
      <c r="S63" s="983">
        <f t="shared" si="23"/>
        <v>0</v>
      </c>
      <c r="T63" s="983">
        <v>0</v>
      </c>
      <c r="U63" s="983">
        <f t="shared" si="24"/>
        <v>0</v>
      </c>
      <c r="V63" s="983">
        <f t="shared" si="25"/>
        <v>0</v>
      </c>
      <c r="W63" s="984">
        <f t="shared" si="26"/>
        <v>0</v>
      </c>
      <c r="X63" s="984">
        <f t="shared" si="29"/>
        <v>0</v>
      </c>
    </row>
    <row r="64" spans="1:24">
      <c r="A64" s="960">
        <v>58</v>
      </c>
      <c r="B64" s="961" t="s">
        <v>149</v>
      </c>
      <c r="C64" s="1081">
        <f>'2-1-13 SIS'!N64</f>
        <v>0</v>
      </c>
      <c r="D64" s="966">
        <f>'Table 3 Levels 1&amp;2'!AL65</f>
        <v>5457.8662803476354</v>
      </c>
      <c r="E64" s="1013">
        <f t="shared" si="15"/>
        <v>0</v>
      </c>
      <c r="F64" s="1013">
        <f>'Table 4 Level 3'!P63</f>
        <v>697.04</v>
      </c>
      <c r="G64" s="1013">
        <f t="shared" si="16"/>
        <v>0</v>
      </c>
      <c r="H64" s="989">
        <f t="shared" si="17"/>
        <v>0</v>
      </c>
      <c r="I64" s="1023">
        <f t="shared" si="18"/>
        <v>0</v>
      </c>
      <c r="J64" s="989">
        <f t="shared" si="19"/>
        <v>0</v>
      </c>
      <c r="K64" s="989">
        <v>0</v>
      </c>
      <c r="L64" s="989">
        <f t="shared" si="20"/>
        <v>0</v>
      </c>
      <c r="M64" s="989">
        <f t="shared" si="21"/>
        <v>0</v>
      </c>
      <c r="N64" s="1003"/>
      <c r="O64" s="989">
        <f t="shared" si="27"/>
        <v>0</v>
      </c>
      <c r="P64" s="981">
        <f>'Table 5C1A-Madison Prep'!N64</f>
        <v>2105</v>
      </c>
      <c r="Q64" s="983">
        <f t="shared" si="28"/>
        <v>0</v>
      </c>
      <c r="R64" s="1029">
        <f t="shared" si="22"/>
        <v>0</v>
      </c>
      <c r="S64" s="983">
        <f t="shared" si="23"/>
        <v>0</v>
      </c>
      <c r="T64" s="983">
        <v>0</v>
      </c>
      <c r="U64" s="983">
        <f t="shared" si="24"/>
        <v>0</v>
      </c>
      <c r="V64" s="983">
        <f t="shared" si="25"/>
        <v>0</v>
      </c>
      <c r="W64" s="984">
        <f t="shared" si="26"/>
        <v>0</v>
      </c>
      <c r="X64" s="984">
        <f t="shared" si="29"/>
        <v>0</v>
      </c>
    </row>
    <row r="65" spans="1:24">
      <c r="A65" s="960">
        <v>59</v>
      </c>
      <c r="B65" s="961" t="s">
        <v>150</v>
      </c>
      <c r="C65" s="1081">
        <f>'2-1-13 SIS'!N65</f>
        <v>0</v>
      </c>
      <c r="D65" s="966">
        <f>'Table 3 Levels 1&amp;2'!AL66</f>
        <v>6274.2786338006481</v>
      </c>
      <c r="E65" s="1013">
        <f t="shared" si="15"/>
        <v>0</v>
      </c>
      <c r="F65" s="1013">
        <f>'Table 4 Level 3'!P64</f>
        <v>689.52</v>
      </c>
      <c r="G65" s="1013">
        <f t="shared" si="16"/>
        <v>0</v>
      </c>
      <c r="H65" s="989">
        <f t="shared" si="17"/>
        <v>0</v>
      </c>
      <c r="I65" s="1023">
        <f t="shared" si="18"/>
        <v>0</v>
      </c>
      <c r="J65" s="989">
        <f t="shared" si="19"/>
        <v>0</v>
      </c>
      <c r="K65" s="989">
        <v>0</v>
      </c>
      <c r="L65" s="989">
        <f t="shared" si="20"/>
        <v>0</v>
      </c>
      <c r="M65" s="989">
        <f t="shared" si="21"/>
        <v>0</v>
      </c>
      <c r="N65" s="1003"/>
      <c r="O65" s="989">
        <f t="shared" si="27"/>
        <v>0</v>
      </c>
      <c r="P65" s="981">
        <f>'Table 5C1A-Madison Prep'!N65</f>
        <v>1510</v>
      </c>
      <c r="Q65" s="983">
        <f t="shared" si="28"/>
        <v>0</v>
      </c>
      <c r="R65" s="1029">
        <f t="shared" si="22"/>
        <v>0</v>
      </c>
      <c r="S65" s="983">
        <f t="shared" si="23"/>
        <v>0</v>
      </c>
      <c r="T65" s="983">
        <v>0</v>
      </c>
      <c r="U65" s="983">
        <f t="shared" si="24"/>
        <v>0</v>
      </c>
      <c r="V65" s="983">
        <f t="shared" si="25"/>
        <v>0</v>
      </c>
      <c r="W65" s="984">
        <f t="shared" si="26"/>
        <v>0</v>
      </c>
      <c r="X65" s="984">
        <f t="shared" si="29"/>
        <v>0</v>
      </c>
    </row>
    <row r="66" spans="1:24">
      <c r="A66" s="963">
        <v>60</v>
      </c>
      <c r="B66" s="964" t="s">
        <v>151</v>
      </c>
      <c r="C66" s="1082">
        <f>'2-1-13 SIS'!N66</f>
        <v>0</v>
      </c>
      <c r="D66" s="967">
        <f>'Table 3 Levels 1&amp;2'!AL67</f>
        <v>4940.9166775610411</v>
      </c>
      <c r="E66" s="1014">
        <f t="shared" si="15"/>
        <v>0</v>
      </c>
      <c r="F66" s="1014">
        <f>'Table 4 Level 3'!P65</f>
        <v>594.04</v>
      </c>
      <c r="G66" s="1014">
        <f t="shared" si="16"/>
        <v>0</v>
      </c>
      <c r="H66" s="990">
        <f t="shared" si="17"/>
        <v>0</v>
      </c>
      <c r="I66" s="1024">
        <f t="shared" si="18"/>
        <v>0</v>
      </c>
      <c r="J66" s="990">
        <f t="shared" si="19"/>
        <v>0</v>
      </c>
      <c r="K66" s="990">
        <v>0</v>
      </c>
      <c r="L66" s="990">
        <f t="shared" si="20"/>
        <v>0</v>
      </c>
      <c r="M66" s="990">
        <f t="shared" si="21"/>
        <v>0</v>
      </c>
      <c r="N66" s="1004"/>
      <c r="O66" s="990">
        <f t="shared" si="27"/>
        <v>0</v>
      </c>
      <c r="P66" s="986">
        <f>'Table 5C1A-Madison Prep'!N66</f>
        <v>3793</v>
      </c>
      <c r="Q66" s="987">
        <f t="shared" si="28"/>
        <v>0</v>
      </c>
      <c r="R66" s="1030">
        <f t="shared" si="22"/>
        <v>0</v>
      </c>
      <c r="S66" s="987">
        <f t="shared" si="23"/>
        <v>0</v>
      </c>
      <c r="T66" s="987">
        <v>0</v>
      </c>
      <c r="U66" s="987">
        <f t="shared" si="24"/>
        <v>0</v>
      </c>
      <c r="V66" s="987">
        <f t="shared" si="25"/>
        <v>0</v>
      </c>
      <c r="W66" s="988">
        <f t="shared" si="26"/>
        <v>0</v>
      </c>
      <c r="X66" s="988">
        <f t="shared" si="29"/>
        <v>0</v>
      </c>
    </row>
    <row r="67" spans="1:24">
      <c r="A67" s="953">
        <v>61</v>
      </c>
      <c r="B67" s="954" t="s">
        <v>152</v>
      </c>
      <c r="C67" s="1083">
        <f>'2-1-13 SIS'!N67</f>
        <v>0</v>
      </c>
      <c r="D67" s="968">
        <f>'Table 3 Levels 1&amp;2'!AL68</f>
        <v>2908.0344869339228</v>
      </c>
      <c r="E67" s="1015">
        <f t="shared" si="15"/>
        <v>0</v>
      </c>
      <c r="F67" s="1015">
        <f>'Table 4 Level 3'!P66</f>
        <v>833.70999999999992</v>
      </c>
      <c r="G67" s="1015">
        <f t="shared" si="16"/>
        <v>0</v>
      </c>
      <c r="H67" s="991">
        <f t="shared" si="17"/>
        <v>0</v>
      </c>
      <c r="I67" s="1025">
        <f t="shared" si="18"/>
        <v>0</v>
      </c>
      <c r="J67" s="991">
        <f t="shared" si="19"/>
        <v>0</v>
      </c>
      <c r="K67" s="991">
        <v>0</v>
      </c>
      <c r="L67" s="991">
        <f t="shared" si="20"/>
        <v>0</v>
      </c>
      <c r="M67" s="991">
        <f t="shared" si="21"/>
        <v>0</v>
      </c>
      <c r="N67" s="1005"/>
      <c r="O67" s="991">
        <f t="shared" si="27"/>
        <v>0</v>
      </c>
      <c r="P67" s="981">
        <f>'Table 5C1A-Madison Prep'!N67</f>
        <v>6570</v>
      </c>
      <c r="Q67" s="958">
        <f t="shared" si="28"/>
        <v>0</v>
      </c>
      <c r="R67" s="1028">
        <f t="shared" si="22"/>
        <v>0</v>
      </c>
      <c r="S67" s="958">
        <f t="shared" si="23"/>
        <v>0</v>
      </c>
      <c r="T67" s="958">
        <v>0</v>
      </c>
      <c r="U67" s="958">
        <f t="shared" si="24"/>
        <v>0</v>
      </c>
      <c r="V67" s="958">
        <f t="shared" si="25"/>
        <v>0</v>
      </c>
      <c r="W67" s="959">
        <f t="shared" si="26"/>
        <v>0</v>
      </c>
      <c r="X67" s="959">
        <f t="shared" si="29"/>
        <v>0</v>
      </c>
    </row>
    <row r="68" spans="1:24">
      <c r="A68" s="960">
        <v>62</v>
      </c>
      <c r="B68" s="961" t="s">
        <v>153</v>
      </c>
      <c r="C68" s="1081">
        <f>'2-1-13 SIS'!N68</f>
        <v>0</v>
      </c>
      <c r="D68" s="966">
        <f>'Table 3 Levels 1&amp;2'!AL69</f>
        <v>5652.1730736722093</v>
      </c>
      <c r="E68" s="1013">
        <f t="shared" si="15"/>
        <v>0</v>
      </c>
      <c r="F68" s="1013">
        <f>'Table 4 Level 3'!P67</f>
        <v>516.08000000000004</v>
      </c>
      <c r="G68" s="1013">
        <f t="shared" si="16"/>
        <v>0</v>
      </c>
      <c r="H68" s="989">
        <f t="shared" si="17"/>
        <v>0</v>
      </c>
      <c r="I68" s="1023">
        <f t="shared" si="18"/>
        <v>0</v>
      </c>
      <c r="J68" s="989">
        <f t="shared" si="19"/>
        <v>0</v>
      </c>
      <c r="K68" s="989">
        <v>0</v>
      </c>
      <c r="L68" s="989">
        <f t="shared" si="20"/>
        <v>0</v>
      </c>
      <c r="M68" s="989">
        <f t="shared" si="21"/>
        <v>0</v>
      </c>
      <c r="N68" s="1003"/>
      <c r="O68" s="989">
        <f t="shared" si="27"/>
        <v>0</v>
      </c>
      <c r="P68" s="981">
        <f>'Table 5C1A-Madison Prep'!N68</f>
        <v>1934</v>
      </c>
      <c r="Q68" s="983">
        <f t="shared" si="28"/>
        <v>0</v>
      </c>
      <c r="R68" s="1029">
        <f t="shared" si="22"/>
        <v>0</v>
      </c>
      <c r="S68" s="983">
        <f t="shared" si="23"/>
        <v>0</v>
      </c>
      <c r="T68" s="983">
        <v>0</v>
      </c>
      <c r="U68" s="983">
        <f t="shared" si="24"/>
        <v>0</v>
      </c>
      <c r="V68" s="983">
        <f t="shared" si="25"/>
        <v>0</v>
      </c>
      <c r="W68" s="984">
        <f t="shared" si="26"/>
        <v>0</v>
      </c>
      <c r="X68" s="984">
        <f t="shared" si="29"/>
        <v>0</v>
      </c>
    </row>
    <row r="69" spans="1:24">
      <c r="A69" s="960">
        <v>63</v>
      </c>
      <c r="B69" s="961" t="s">
        <v>154</v>
      </c>
      <c r="C69" s="1081">
        <f>'2-1-13 SIS'!N69</f>
        <v>0</v>
      </c>
      <c r="D69" s="966">
        <f>'Table 3 Levels 1&amp;2'!AL70</f>
        <v>4362.300753810403</v>
      </c>
      <c r="E69" s="1013">
        <f t="shared" si="15"/>
        <v>0</v>
      </c>
      <c r="F69" s="1013">
        <f>'Table 4 Level 3'!P68</f>
        <v>756.79</v>
      </c>
      <c r="G69" s="1013">
        <f t="shared" si="16"/>
        <v>0</v>
      </c>
      <c r="H69" s="989">
        <f t="shared" si="17"/>
        <v>0</v>
      </c>
      <c r="I69" s="1023">
        <f t="shared" si="18"/>
        <v>0</v>
      </c>
      <c r="J69" s="989">
        <f t="shared" si="19"/>
        <v>0</v>
      </c>
      <c r="K69" s="989">
        <v>0</v>
      </c>
      <c r="L69" s="989">
        <f t="shared" si="20"/>
        <v>0</v>
      </c>
      <c r="M69" s="989">
        <f t="shared" si="21"/>
        <v>0</v>
      </c>
      <c r="N69" s="1003"/>
      <c r="O69" s="989">
        <f t="shared" si="27"/>
        <v>0</v>
      </c>
      <c r="P69" s="981">
        <f>'Table 5C1A-Madison Prep'!N69</f>
        <v>6787</v>
      </c>
      <c r="Q69" s="983">
        <f t="shared" si="28"/>
        <v>0</v>
      </c>
      <c r="R69" s="1029">
        <f t="shared" si="22"/>
        <v>0</v>
      </c>
      <c r="S69" s="983">
        <f t="shared" si="23"/>
        <v>0</v>
      </c>
      <c r="T69" s="983">
        <v>0</v>
      </c>
      <c r="U69" s="983">
        <f t="shared" si="24"/>
        <v>0</v>
      </c>
      <c r="V69" s="983">
        <f t="shared" si="25"/>
        <v>0</v>
      </c>
      <c r="W69" s="984">
        <f t="shared" si="26"/>
        <v>0</v>
      </c>
      <c r="X69" s="984">
        <f t="shared" si="29"/>
        <v>0</v>
      </c>
    </row>
    <row r="70" spans="1:24">
      <c r="A70" s="960">
        <v>64</v>
      </c>
      <c r="B70" s="961" t="s">
        <v>155</v>
      </c>
      <c r="C70" s="1081">
        <f>'2-1-13 SIS'!N70</f>
        <v>0</v>
      </c>
      <c r="D70" s="966">
        <f>'Table 3 Levels 1&amp;2'!AL71</f>
        <v>5960.2049072003338</v>
      </c>
      <c r="E70" s="1013">
        <f t="shared" si="15"/>
        <v>0</v>
      </c>
      <c r="F70" s="1013">
        <f>'Table 4 Level 3'!P69</f>
        <v>592.66</v>
      </c>
      <c r="G70" s="1013">
        <f t="shared" si="16"/>
        <v>0</v>
      </c>
      <c r="H70" s="989">
        <f t="shared" si="17"/>
        <v>0</v>
      </c>
      <c r="I70" s="1023">
        <f t="shared" si="18"/>
        <v>0</v>
      </c>
      <c r="J70" s="989">
        <f t="shared" si="19"/>
        <v>0</v>
      </c>
      <c r="K70" s="989">
        <v>0</v>
      </c>
      <c r="L70" s="989">
        <f t="shared" si="20"/>
        <v>0</v>
      </c>
      <c r="M70" s="989">
        <f t="shared" si="21"/>
        <v>0</v>
      </c>
      <c r="N70" s="1003"/>
      <c r="O70" s="989">
        <f t="shared" si="27"/>
        <v>0</v>
      </c>
      <c r="P70" s="981">
        <f>'Table 5C1A-Madison Prep'!N70</f>
        <v>2901</v>
      </c>
      <c r="Q70" s="983">
        <f t="shared" si="28"/>
        <v>0</v>
      </c>
      <c r="R70" s="1029">
        <f t="shared" si="22"/>
        <v>0</v>
      </c>
      <c r="S70" s="983">
        <f t="shared" si="23"/>
        <v>0</v>
      </c>
      <c r="T70" s="983">
        <v>0</v>
      </c>
      <c r="U70" s="983">
        <f t="shared" si="24"/>
        <v>0</v>
      </c>
      <c r="V70" s="983">
        <f t="shared" si="25"/>
        <v>0</v>
      </c>
      <c r="W70" s="984">
        <f t="shared" si="26"/>
        <v>0</v>
      </c>
      <c r="X70" s="984">
        <f t="shared" si="29"/>
        <v>0</v>
      </c>
    </row>
    <row r="71" spans="1:24">
      <c r="A71" s="963">
        <v>65</v>
      </c>
      <c r="B71" s="964" t="s">
        <v>156</v>
      </c>
      <c r="C71" s="1082">
        <f>'2-1-13 SIS'!N71</f>
        <v>0</v>
      </c>
      <c r="D71" s="967">
        <f>'Table 3 Levels 1&amp;2'!AL72</f>
        <v>4579.2772303106676</v>
      </c>
      <c r="E71" s="1014">
        <f t="shared" si="15"/>
        <v>0</v>
      </c>
      <c r="F71" s="1014">
        <f>'Table 4 Level 3'!P70</f>
        <v>829.12</v>
      </c>
      <c r="G71" s="1014">
        <f t="shared" si="16"/>
        <v>0</v>
      </c>
      <c r="H71" s="990">
        <f t="shared" si="17"/>
        <v>0</v>
      </c>
      <c r="I71" s="1024">
        <f t="shared" si="18"/>
        <v>0</v>
      </c>
      <c r="J71" s="990">
        <f t="shared" si="19"/>
        <v>0</v>
      </c>
      <c r="K71" s="990">
        <v>0</v>
      </c>
      <c r="L71" s="990">
        <f t="shared" si="20"/>
        <v>0</v>
      </c>
      <c r="M71" s="990">
        <f t="shared" si="21"/>
        <v>0</v>
      </c>
      <c r="N71" s="1004"/>
      <c r="O71" s="990">
        <f t="shared" ref="O71:O75" si="30">L71+N71</f>
        <v>0</v>
      </c>
      <c r="P71" s="986">
        <f>'Table 5C1A-Madison Prep'!N71</f>
        <v>5001</v>
      </c>
      <c r="Q71" s="987">
        <f t="shared" ref="Q71:Q75" si="31">C71*P71</f>
        <v>0</v>
      </c>
      <c r="R71" s="1030">
        <f t="shared" si="22"/>
        <v>0</v>
      </c>
      <c r="S71" s="987">
        <f t="shared" si="23"/>
        <v>0</v>
      </c>
      <c r="T71" s="987">
        <v>0</v>
      </c>
      <c r="U71" s="987">
        <f t="shared" si="24"/>
        <v>0</v>
      </c>
      <c r="V71" s="987">
        <f t="shared" si="25"/>
        <v>0</v>
      </c>
      <c r="W71" s="988">
        <f t="shared" si="26"/>
        <v>0</v>
      </c>
      <c r="X71" s="988">
        <f t="shared" si="29"/>
        <v>0</v>
      </c>
    </row>
    <row r="72" spans="1:24">
      <c r="A72" s="953">
        <v>66</v>
      </c>
      <c r="B72" s="954" t="s">
        <v>157</v>
      </c>
      <c r="C72" s="1083">
        <f>'2-1-13 SIS'!N72</f>
        <v>0</v>
      </c>
      <c r="D72" s="968">
        <f>'Table 3 Levels 1&amp;2'!AL73</f>
        <v>6370.8108195713585</v>
      </c>
      <c r="E72" s="1015">
        <f t="shared" ref="E72:E75" si="32">C72*D72</f>
        <v>0</v>
      </c>
      <c r="F72" s="1015">
        <f>'Table 4 Level 3'!P71</f>
        <v>730.06</v>
      </c>
      <c r="G72" s="1015">
        <f t="shared" ref="G72:G75" si="33">C72*F72</f>
        <v>0</v>
      </c>
      <c r="H72" s="991">
        <f t="shared" ref="H72:H75" si="34">E72+G72</f>
        <v>0</v>
      </c>
      <c r="I72" s="1025">
        <f t="shared" ref="I72:I75" si="35">-(0.25%*H72)</f>
        <v>0</v>
      </c>
      <c r="J72" s="991">
        <f t="shared" ref="J72:J75" si="36">SUM(H72:I72)</f>
        <v>0</v>
      </c>
      <c r="K72" s="991">
        <v>0</v>
      </c>
      <c r="L72" s="991">
        <f t="shared" ref="L72:L75" si="37">SUM(J72:K72)</f>
        <v>0</v>
      </c>
      <c r="M72" s="991">
        <f t="shared" ref="M72:M75" si="38">L72/12</f>
        <v>0</v>
      </c>
      <c r="N72" s="1005"/>
      <c r="O72" s="991">
        <f t="shared" si="30"/>
        <v>0</v>
      </c>
      <c r="P72" s="981">
        <f>'Table 5C1A-Madison Prep'!N72</f>
        <v>3415</v>
      </c>
      <c r="Q72" s="958">
        <f t="shared" si="31"/>
        <v>0</v>
      </c>
      <c r="R72" s="1028">
        <f t="shared" ref="R72:R75" si="39">-(0.25%*Q72)</f>
        <v>0</v>
      </c>
      <c r="S72" s="958">
        <f t="shared" ref="S72:S75" si="40">SUM(Q72:R72)</f>
        <v>0</v>
      </c>
      <c r="T72" s="958">
        <v>0</v>
      </c>
      <c r="U72" s="958">
        <f t="shared" ref="U72:U75" si="41">SUM(S72:T72)</f>
        <v>0</v>
      </c>
      <c r="V72" s="958">
        <f t="shared" ref="V72:V75" si="42">U72/12</f>
        <v>0</v>
      </c>
      <c r="W72" s="959">
        <f t="shared" ref="W72:W75" si="43">O72+U72</f>
        <v>0</v>
      </c>
      <c r="X72" s="959">
        <f t="shared" si="29"/>
        <v>0</v>
      </c>
    </row>
    <row r="73" spans="1:24">
      <c r="A73" s="960">
        <v>67</v>
      </c>
      <c r="B73" s="961" t="s">
        <v>32</v>
      </c>
      <c r="C73" s="1081">
        <f>'2-1-13 SIS'!N73</f>
        <v>0</v>
      </c>
      <c r="D73" s="966">
        <f>'Table 3 Levels 1&amp;2'!AL74</f>
        <v>4951.6009932106244</v>
      </c>
      <c r="E73" s="1013">
        <f t="shared" si="32"/>
        <v>0</v>
      </c>
      <c r="F73" s="1013">
        <f>'Table 4 Level 3'!P72</f>
        <v>715.61</v>
      </c>
      <c r="G73" s="1013">
        <f t="shared" si="33"/>
        <v>0</v>
      </c>
      <c r="H73" s="989">
        <f t="shared" si="34"/>
        <v>0</v>
      </c>
      <c r="I73" s="1023">
        <f t="shared" si="35"/>
        <v>0</v>
      </c>
      <c r="J73" s="989">
        <f t="shared" si="36"/>
        <v>0</v>
      </c>
      <c r="K73" s="989">
        <v>0</v>
      </c>
      <c r="L73" s="989">
        <f t="shared" si="37"/>
        <v>0</v>
      </c>
      <c r="M73" s="989">
        <f t="shared" si="38"/>
        <v>0</v>
      </c>
      <c r="N73" s="1003"/>
      <c r="O73" s="989">
        <f t="shared" si="30"/>
        <v>0</v>
      </c>
      <c r="P73" s="981">
        <f>'Table 5C1A-Madison Prep'!N73</f>
        <v>5221</v>
      </c>
      <c r="Q73" s="983">
        <f t="shared" si="31"/>
        <v>0</v>
      </c>
      <c r="R73" s="1029">
        <f t="shared" si="39"/>
        <v>0</v>
      </c>
      <c r="S73" s="983">
        <f t="shared" si="40"/>
        <v>0</v>
      </c>
      <c r="T73" s="983">
        <v>0</v>
      </c>
      <c r="U73" s="983">
        <f t="shared" si="41"/>
        <v>0</v>
      </c>
      <c r="V73" s="983">
        <f t="shared" si="42"/>
        <v>0</v>
      </c>
      <c r="W73" s="984">
        <f t="shared" si="43"/>
        <v>0</v>
      </c>
      <c r="X73" s="984">
        <f t="shared" si="29"/>
        <v>0</v>
      </c>
    </row>
    <row r="74" spans="1:24">
      <c r="A74" s="960">
        <v>68</v>
      </c>
      <c r="B74" s="961" t="s">
        <v>30</v>
      </c>
      <c r="C74" s="1081">
        <f>'2-1-13 SIS'!N74</f>
        <v>0</v>
      </c>
      <c r="D74" s="966">
        <f>'Table 3 Levels 1&amp;2'!AL75</f>
        <v>6077.2398733698947</v>
      </c>
      <c r="E74" s="1013">
        <f t="shared" si="32"/>
        <v>0</v>
      </c>
      <c r="F74" s="1013">
        <f>'Table 4 Level 3'!P73</f>
        <v>798.7</v>
      </c>
      <c r="G74" s="1013">
        <f t="shared" si="33"/>
        <v>0</v>
      </c>
      <c r="H74" s="989">
        <f t="shared" si="34"/>
        <v>0</v>
      </c>
      <c r="I74" s="1023">
        <f t="shared" si="35"/>
        <v>0</v>
      </c>
      <c r="J74" s="989">
        <f t="shared" si="36"/>
        <v>0</v>
      </c>
      <c r="K74" s="989">
        <v>0</v>
      </c>
      <c r="L74" s="989">
        <f t="shared" si="37"/>
        <v>0</v>
      </c>
      <c r="M74" s="989">
        <f t="shared" si="38"/>
        <v>0</v>
      </c>
      <c r="N74" s="1003"/>
      <c r="O74" s="989">
        <f t="shared" si="30"/>
        <v>0</v>
      </c>
      <c r="P74" s="981">
        <f>'Table 5C1A-Madison Prep'!N74</f>
        <v>2680</v>
      </c>
      <c r="Q74" s="983">
        <f t="shared" si="31"/>
        <v>0</v>
      </c>
      <c r="R74" s="1029">
        <f t="shared" si="39"/>
        <v>0</v>
      </c>
      <c r="S74" s="983">
        <f t="shared" si="40"/>
        <v>0</v>
      </c>
      <c r="T74" s="983">
        <v>0</v>
      </c>
      <c r="U74" s="983">
        <f t="shared" si="41"/>
        <v>0</v>
      </c>
      <c r="V74" s="983">
        <f t="shared" si="42"/>
        <v>0</v>
      </c>
      <c r="W74" s="984">
        <f t="shared" si="43"/>
        <v>0</v>
      </c>
      <c r="X74" s="984">
        <f t="shared" si="29"/>
        <v>0</v>
      </c>
    </row>
    <row r="75" spans="1:24">
      <c r="A75" s="969">
        <v>69</v>
      </c>
      <c r="B75" s="970" t="s">
        <v>208</v>
      </c>
      <c r="C75" s="1084">
        <f>'2-1-13 SIS'!N75</f>
        <v>0</v>
      </c>
      <c r="D75" s="971">
        <f>'Table 3 Levels 1&amp;2'!AL76</f>
        <v>5585.8253106686579</v>
      </c>
      <c r="E75" s="1016">
        <f t="shared" si="32"/>
        <v>0</v>
      </c>
      <c r="F75" s="1016">
        <f>'Table 4 Level 3'!P74</f>
        <v>705.67</v>
      </c>
      <c r="G75" s="1016">
        <f t="shared" si="33"/>
        <v>0</v>
      </c>
      <c r="H75" s="992">
        <f t="shared" si="34"/>
        <v>0</v>
      </c>
      <c r="I75" s="1026">
        <f t="shared" si="35"/>
        <v>0</v>
      </c>
      <c r="J75" s="992">
        <f t="shared" si="36"/>
        <v>0</v>
      </c>
      <c r="K75" s="992">
        <v>0</v>
      </c>
      <c r="L75" s="992">
        <f t="shared" si="37"/>
        <v>0</v>
      </c>
      <c r="M75" s="992">
        <f t="shared" si="38"/>
        <v>0</v>
      </c>
      <c r="N75" s="1006"/>
      <c r="O75" s="992">
        <f t="shared" si="30"/>
        <v>0</v>
      </c>
      <c r="P75" s="981">
        <f>'Table 5C1A-Madison Prep'!N75</f>
        <v>3263</v>
      </c>
      <c r="Q75" s="993">
        <f t="shared" si="31"/>
        <v>0</v>
      </c>
      <c r="R75" s="1031">
        <f t="shared" si="39"/>
        <v>0</v>
      </c>
      <c r="S75" s="993">
        <f t="shared" si="40"/>
        <v>0</v>
      </c>
      <c r="T75" s="993">
        <v>0</v>
      </c>
      <c r="U75" s="993">
        <f t="shared" si="41"/>
        <v>0</v>
      </c>
      <c r="V75" s="993">
        <f t="shared" si="42"/>
        <v>0</v>
      </c>
      <c r="W75" s="994">
        <f t="shared" si="43"/>
        <v>0</v>
      </c>
      <c r="X75" s="994">
        <f t="shared" si="29"/>
        <v>0</v>
      </c>
    </row>
    <row r="76" spans="1:24" ht="13.5" thickBot="1">
      <c r="A76" s="972"/>
      <c r="B76" s="973" t="s">
        <v>158</v>
      </c>
      <c r="C76" s="974">
        <f>SUM(C7:C75)</f>
        <v>202</v>
      </c>
      <c r="D76" s="975"/>
      <c r="E76" s="1017">
        <f>SUM(E7:E75)</f>
        <v>698549.49523055239</v>
      </c>
      <c r="F76" s="1017">
        <f>'Table 4 Level 3'!P75</f>
        <v>704.49059912051428</v>
      </c>
      <c r="G76" s="1017">
        <f t="shared" ref="G76:L76" si="44">SUM(G7:G75)</f>
        <v>155153.98000000001</v>
      </c>
      <c r="H76" s="976">
        <f t="shared" si="44"/>
        <v>853703.47523055237</v>
      </c>
      <c r="I76" s="1027">
        <f t="shared" si="44"/>
        <v>-2134.2586880763815</v>
      </c>
      <c r="J76" s="976">
        <f t="shared" si="44"/>
        <v>851569.21654247609</v>
      </c>
      <c r="K76" s="976">
        <f t="shared" si="44"/>
        <v>0</v>
      </c>
      <c r="L76" s="976">
        <f t="shared" si="44"/>
        <v>851569.21654247609</v>
      </c>
      <c r="M76" s="976">
        <f>SUM(M7:M75)</f>
        <v>70964.101378539664</v>
      </c>
      <c r="N76" s="1007">
        <f>SUM(N7:N75)</f>
        <v>96000</v>
      </c>
      <c r="O76" s="976">
        <f>SUM(O7:O75)</f>
        <v>947569.21654247609</v>
      </c>
      <c r="P76" s="995">
        <f>'Table 5C1A-Madison Prep'!N76</f>
        <v>4503</v>
      </c>
      <c r="Q76" s="977">
        <f t="shared" ref="Q76:X76" si="45">SUM(Q7:Q75)</f>
        <v>1112180</v>
      </c>
      <c r="R76" s="1032">
        <f t="shared" si="45"/>
        <v>-2780.4500000000003</v>
      </c>
      <c r="S76" s="977">
        <f t="shared" si="45"/>
        <v>1109399.5500000003</v>
      </c>
      <c r="T76" s="977">
        <f t="shared" si="45"/>
        <v>0</v>
      </c>
      <c r="U76" s="977">
        <f t="shared" si="45"/>
        <v>1109399.5500000003</v>
      </c>
      <c r="V76" s="977">
        <f t="shared" si="45"/>
        <v>92449.962500000009</v>
      </c>
      <c r="W76" s="978">
        <f t="shared" si="45"/>
        <v>2056968.7665424761</v>
      </c>
      <c r="X76" s="978">
        <f t="shared" si="45"/>
        <v>163414.06387853969</v>
      </c>
    </row>
    <row r="77" spans="1:24" ht="13.5" thickTop="1"/>
  </sheetData>
  <mergeCells count="22">
    <mergeCell ref="W2:W4"/>
    <mergeCell ref="X2:X4"/>
    <mergeCell ref="C3:C4"/>
    <mergeCell ref="D3:D4"/>
    <mergeCell ref="E3:E4"/>
    <mergeCell ref="F3:F4"/>
    <mergeCell ref="G3:G4"/>
    <mergeCell ref="S3:S4"/>
    <mergeCell ref="T3:T4"/>
    <mergeCell ref="U3:U4"/>
    <mergeCell ref="H3:H4"/>
    <mergeCell ref="J3:J4"/>
    <mergeCell ref="K3:K4"/>
    <mergeCell ref="N3:N4"/>
    <mergeCell ref="O3:O4"/>
    <mergeCell ref="L3:L4"/>
    <mergeCell ref="M3:M4"/>
    <mergeCell ref="P3:P4"/>
    <mergeCell ref="A2:B4"/>
    <mergeCell ref="P2:V2"/>
    <mergeCell ref="C2:H2"/>
    <mergeCell ref="I2:O2"/>
  </mergeCells>
  <pageMargins left="0.38" right="0.34" top="0.75" bottom="0.75" header="0.3" footer="0.3"/>
  <pageSetup paperSize="5" scale="70" firstPageNumber="58" orientation="portrait" useFirstPageNumber="1" r:id="rId1"/>
  <headerFooter>
    <oddHeader>&amp;L&amp;"Arial,Bold"&amp;20Table 5C1-E: FY2013-14 MFP Budget Letter 
Lycee Francais de la Nouvelle Orleans</oddHeader>
    <oddFooter>&amp;R&amp;P</oddFooter>
  </headerFooter>
  <colBreaks count="2" manualBreakCount="2">
    <brk id="8" min="1" max="75" man="1"/>
    <brk id="15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view="pageBreakPreview" zoomScale="90" zoomScaleNormal="100" zoomScaleSheetLayoutView="90" workbookViewId="0">
      <pane xSplit="2" ySplit="6" topLeftCell="K7" activePane="bottomRight" state="frozen"/>
      <selection activeCell="B1" sqref="B1:B2"/>
      <selection pane="topRight" activeCell="B1" sqref="B1:B2"/>
      <selection pane="bottomLeft" activeCell="B1" sqref="B1:B2"/>
      <selection pane="bottomRight" activeCell="N8" sqref="N8:N76"/>
    </sheetView>
  </sheetViews>
  <sheetFormatPr defaultRowHeight="12.75"/>
  <cols>
    <col min="1" max="1" width="4.28515625" customWidth="1"/>
    <col min="2" max="2" width="17.85546875" bestFit="1" customWidth="1"/>
    <col min="3" max="3" width="12.5703125" customWidth="1"/>
    <col min="4" max="4" width="17" customWidth="1"/>
    <col min="5" max="5" width="11.140625" customWidth="1"/>
    <col min="6" max="6" width="12" customWidth="1"/>
    <col min="7" max="7" width="13.28515625" customWidth="1"/>
    <col min="8" max="8" width="14.5703125" customWidth="1"/>
    <col min="9" max="9" width="12.28515625" customWidth="1"/>
    <col min="10" max="10" width="12" bestFit="1" customWidth="1"/>
    <col min="11" max="11" width="13.42578125" bestFit="1" customWidth="1"/>
    <col min="12" max="12" width="14" customWidth="1"/>
    <col min="13" max="13" width="9.28515625" bestFit="1" customWidth="1"/>
    <col min="14" max="14" width="17.28515625" customWidth="1"/>
    <col min="15" max="15" width="16.7109375" customWidth="1"/>
    <col min="16" max="16" width="13.7109375" customWidth="1"/>
    <col min="17" max="17" width="17" customWidth="1"/>
    <col min="18" max="18" width="15.28515625" customWidth="1"/>
    <col min="19" max="19" width="13.140625" customWidth="1"/>
    <col min="20" max="20" width="12" customWidth="1"/>
    <col min="21" max="21" width="11" customWidth="1"/>
    <col min="22" max="22" width="12.140625" customWidth="1"/>
  </cols>
  <sheetData>
    <row r="1" spans="1:22"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:22" ht="45" customHeight="1">
      <c r="A2" s="1711" t="s">
        <v>505</v>
      </c>
      <c r="B2" s="1712"/>
      <c r="C2" s="1718" t="s">
        <v>500</v>
      </c>
      <c r="D2" s="1719"/>
      <c r="E2" s="1719"/>
      <c r="F2" s="1719"/>
      <c r="G2" s="1719"/>
      <c r="H2" s="1719"/>
      <c r="I2" s="1719"/>
      <c r="J2" s="1719"/>
      <c r="K2" s="1719"/>
      <c r="L2" s="1719"/>
      <c r="M2" s="1720"/>
      <c r="N2" s="1700" t="s">
        <v>656</v>
      </c>
      <c r="O2" s="1701"/>
      <c r="P2" s="1701"/>
      <c r="Q2" s="1701"/>
      <c r="R2" s="1701"/>
      <c r="S2" s="1701"/>
      <c r="T2" s="1702"/>
      <c r="U2" s="1703" t="s">
        <v>683</v>
      </c>
      <c r="V2" s="1703" t="s">
        <v>654</v>
      </c>
    </row>
    <row r="3" spans="1:22" ht="116.25" customHeight="1">
      <c r="A3" s="1713"/>
      <c r="B3" s="1714"/>
      <c r="C3" s="1706" t="s">
        <v>588</v>
      </c>
      <c r="D3" s="1717" t="s">
        <v>744</v>
      </c>
      <c r="E3" s="1717" t="s">
        <v>674</v>
      </c>
      <c r="F3" s="1706" t="s">
        <v>501</v>
      </c>
      <c r="G3" s="1706" t="s">
        <v>445</v>
      </c>
      <c r="H3" s="1706" t="s">
        <v>675</v>
      </c>
      <c r="I3" s="1104" t="s">
        <v>456</v>
      </c>
      <c r="J3" s="1706" t="s">
        <v>676</v>
      </c>
      <c r="K3" s="1706" t="s">
        <v>967</v>
      </c>
      <c r="L3" s="1706" t="s">
        <v>677</v>
      </c>
      <c r="M3" s="1717" t="s">
        <v>655</v>
      </c>
      <c r="N3" s="1709" t="s">
        <v>527</v>
      </c>
      <c r="O3" s="1278" t="s">
        <v>678</v>
      </c>
      <c r="P3" s="1106" t="s">
        <v>457</v>
      </c>
      <c r="Q3" s="1709" t="s">
        <v>679</v>
      </c>
      <c r="R3" s="1709" t="s">
        <v>967</v>
      </c>
      <c r="S3" s="1709" t="s">
        <v>680</v>
      </c>
      <c r="T3" s="1278" t="s">
        <v>681</v>
      </c>
      <c r="U3" s="1704"/>
      <c r="V3" s="1704"/>
    </row>
    <row r="4" spans="1:22" ht="22.5" customHeight="1">
      <c r="A4" s="1715"/>
      <c r="B4" s="1716"/>
      <c r="C4" s="1707"/>
      <c r="D4" s="1717"/>
      <c r="E4" s="1717"/>
      <c r="F4" s="1707"/>
      <c r="G4" s="1707"/>
      <c r="H4" s="1707"/>
      <c r="I4" s="1018">
        <v>2.5000000000000001E-3</v>
      </c>
      <c r="J4" s="1707"/>
      <c r="K4" s="1707"/>
      <c r="L4" s="1707"/>
      <c r="M4" s="1717"/>
      <c r="N4" s="1710"/>
      <c r="O4" s="1105"/>
      <c r="P4" s="1019">
        <v>2.5000000000000001E-3</v>
      </c>
      <c r="Q4" s="1710"/>
      <c r="R4" s="1710"/>
      <c r="S4" s="1710"/>
      <c r="T4" s="1105"/>
      <c r="U4" s="1705"/>
      <c r="V4" s="1705"/>
    </row>
    <row r="5" spans="1:22" ht="14.25" customHeight="1">
      <c r="A5" s="950"/>
      <c r="B5" s="951"/>
      <c r="C5" s="952">
        <v>1</v>
      </c>
      <c r="D5" s="952">
        <f t="shared" ref="D5" si="0">C5+1</f>
        <v>2</v>
      </c>
      <c r="E5" s="952">
        <f>D5+1</f>
        <v>3</v>
      </c>
      <c r="F5" s="952">
        <f t="shared" ref="F5:V5" si="1">E5+1</f>
        <v>4</v>
      </c>
      <c r="G5" s="952">
        <f t="shared" si="1"/>
        <v>5</v>
      </c>
      <c r="H5" s="952">
        <f t="shared" si="1"/>
        <v>6</v>
      </c>
      <c r="I5" s="952">
        <f t="shared" si="1"/>
        <v>7</v>
      </c>
      <c r="J5" s="952">
        <f t="shared" si="1"/>
        <v>8</v>
      </c>
      <c r="K5" s="952">
        <f t="shared" si="1"/>
        <v>9</v>
      </c>
      <c r="L5" s="952">
        <f t="shared" si="1"/>
        <v>10</v>
      </c>
      <c r="M5" s="952">
        <f t="shared" si="1"/>
        <v>11</v>
      </c>
      <c r="N5" s="952">
        <f t="shared" si="1"/>
        <v>12</v>
      </c>
      <c r="O5" s="952">
        <f t="shared" si="1"/>
        <v>13</v>
      </c>
      <c r="P5" s="952">
        <f t="shared" si="1"/>
        <v>14</v>
      </c>
      <c r="Q5" s="952">
        <f t="shared" si="1"/>
        <v>15</v>
      </c>
      <c r="R5" s="952">
        <f t="shared" si="1"/>
        <v>16</v>
      </c>
      <c r="S5" s="952">
        <f t="shared" si="1"/>
        <v>17</v>
      </c>
      <c r="T5" s="952">
        <f t="shared" si="1"/>
        <v>18</v>
      </c>
      <c r="U5" s="952">
        <f t="shared" si="1"/>
        <v>19</v>
      </c>
      <c r="V5" s="952">
        <f t="shared" si="1"/>
        <v>20</v>
      </c>
    </row>
    <row r="6" spans="1:22" ht="27" customHeight="1">
      <c r="A6" s="979"/>
      <c r="B6" s="980"/>
      <c r="C6" s="980"/>
      <c r="D6" s="980"/>
      <c r="E6" s="980"/>
      <c r="F6" s="980"/>
      <c r="G6" s="980"/>
      <c r="H6" s="980"/>
      <c r="I6" s="980"/>
      <c r="J6" s="980"/>
      <c r="K6" s="980"/>
      <c r="L6" s="980"/>
      <c r="M6" s="980"/>
      <c r="N6" s="980"/>
      <c r="O6" s="980"/>
      <c r="P6" s="980"/>
      <c r="Q6" s="980"/>
      <c r="R6" s="980"/>
      <c r="S6" s="980"/>
      <c r="T6" s="980"/>
      <c r="U6" s="980"/>
      <c r="V6" s="980"/>
    </row>
    <row r="7" spans="1:22">
      <c r="A7" s="953">
        <v>1</v>
      </c>
      <c r="B7" s="954" t="s">
        <v>93</v>
      </c>
      <c r="C7" s="955">
        <f>'2-1-13 SIS'!M7</f>
        <v>0</v>
      </c>
      <c r="D7" s="956">
        <f>'Table 3 Levels 1&amp;2'!AL8</f>
        <v>4597.5882673899441</v>
      </c>
      <c r="E7" s="1010">
        <f>C7*D7</f>
        <v>0</v>
      </c>
      <c r="F7" s="1010">
        <f>'Table 4 Level 3'!P6</f>
        <v>777.48</v>
      </c>
      <c r="G7" s="1010">
        <f>C7*F7</f>
        <v>0</v>
      </c>
      <c r="H7" s="957">
        <f>E7+G7</f>
        <v>0</v>
      </c>
      <c r="I7" s="1020">
        <f>-(0.25%*H7)</f>
        <v>0</v>
      </c>
      <c r="J7" s="957">
        <f>SUM(H7:I7)</f>
        <v>0</v>
      </c>
      <c r="K7" s="957">
        <v>0</v>
      </c>
      <c r="L7" s="957">
        <f>SUM(J7:K7)</f>
        <v>0</v>
      </c>
      <c r="M7" s="957">
        <f>L7/12</f>
        <v>0</v>
      </c>
      <c r="N7" s="981">
        <f>'Table 5C1A-Madison Prep'!N7</f>
        <v>2168</v>
      </c>
      <c r="O7" s="958">
        <f>C7*N7</f>
        <v>0</v>
      </c>
      <c r="P7" s="1028">
        <f>-(0.25%*O7)</f>
        <v>0</v>
      </c>
      <c r="Q7" s="958">
        <f>SUM(O7:P7)</f>
        <v>0</v>
      </c>
      <c r="R7" s="958">
        <v>0</v>
      </c>
      <c r="S7" s="958">
        <f>SUM(Q7:R7)</f>
        <v>0</v>
      </c>
      <c r="T7" s="958">
        <f>S7/12</f>
        <v>0</v>
      </c>
      <c r="U7" s="959">
        <f>L7+S7</f>
        <v>0</v>
      </c>
      <c r="V7" s="959">
        <f>M7+T7</f>
        <v>0</v>
      </c>
    </row>
    <row r="8" spans="1:22">
      <c r="A8" s="960">
        <v>2</v>
      </c>
      <c r="B8" s="961" t="s">
        <v>94</v>
      </c>
      <c r="C8" s="1078">
        <f>'2-1-13 SIS'!M8</f>
        <v>0</v>
      </c>
      <c r="D8" s="962">
        <f>'Table 3 Levels 1&amp;2'!AL9</f>
        <v>6182.4313545138375</v>
      </c>
      <c r="E8" s="1011">
        <f t="shared" ref="E8:E71" si="2">C8*D8</f>
        <v>0</v>
      </c>
      <c r="F8" s="1011">
        <f>'Table 4 Level 3'!P7</f>
        <v>842.32</v>
      </c>
      <c r="G8" s="1011">
        <f t="shared" ref="G8:G71" si="3">C8*F8</f>
        <v>0</v>
      </c>
      <c r="H8" s="982">
        <f t="shared" ref="H8:H71" si="4">E8+G8</f>
        <v>0</v>
      </c>
      <c r="I8" s="1021">
        <f t="shared" ref="I8:I71" si="5">-(0.25%*H8)</f>
        <v>0</v>
      </c>
      <c r="J8" s="982">
        <f t="shared" ref="J8:J71" si="6">SUM(H8:I8)</f>
        <v>0</v>
      </c>
      <c r="K8" s="982">
        <v>0</v>
      </c>
      <c r="L8" s="982">
        <f t="shared" ref="L8:L71" si="7">SUM(J8:K8)</f>
        <v>0</v>
      </c>
      <c r="M8" s="982">
        <f t="shared" ref="M8:M71" si="8">L8/12</f>
        <v>0</v>
      </c>
      <c r="N8" s="981">
        <f>'Table 5C1A-Madison Prep'!N8</f>
        <v>2627</v>
      </c>
      <c r="O8" s="983">
        <f t="shared" ref="O8:O71" si="9">C8*N8</f>
        <v>0</v>
      </c>
      <c r="P8" s="1029">
        <f t="shared" ref="P8:P71" si="10">-(0.25%*O8)</f>
        <v>0</v>
      </c>
      <c r="Q8" s="983">
        <f t="shared" ref="Q8:Q71" si="11">SUM(O8:P8)</f>
        <v>0</v>
      </c>
      <c r="R8" s="983">
        <v>0</v>
      </c>
      <c r="S8" s="983">
        <f t="shared" ref="S8:S71" si="12">SUM(Q8:R8)</f>
        <v>0</v>
      </c>
      <c r="T8" s="983">
        <f t="shared" ref="T8:T71" si="13">S8/12</f>
        <v>0</v>
      </c>
      <c r="U8" s="984">
        <f t="shared" ref="U8:V71" si="14">L8+S8</f>
        <v>0</v>
      </c>
      <c r="V8" s="984">
        <f t="shared" si="14"/>
        <v>0</v>
      </c>
    </row>
    <row r="9" spans="1:22">
      <c r="A9" s="960">
        <v>3</v>
      </c>
      <c r="B9" s="961" t="s">
        <v>95</v>
      </c>
      <c r="C9" s="1078">
        <f>'2-1-13 SIS'!M9</f>
        <v>0</v>
      </c>
      <c r="D9" s="962">
        <f>'Table 3 Levels 1&amp;2'!AL10</f>
        <v>4206.710737685361</v>
      </c>
      <c r="E9" s="1011">
        <f t="shared" si="2"/>
        <v>0</v>
      </c>
      <c r="F9" s="1011">
        <f>'Table 4 Level 3'!P8</f>
        <v>596.84</v>
      </c>
      <c r="G9" s="1011">
        <f t="shared" si="3"/>
        <v>0</v>
      </c>
      <c r="H9" s="982">
        <f t="shared" si="4"/>
        <v>0</v>
      </c>
      <c r="I9" s="1021">
        <f t="shared" si="5"/>
        <v>0</v>
      </c>
      <c r="J9" s="982">
        <f t="shared" si="6"/>
        <v>0</v>
      </c>
      <c r="K9" s="982">
        <v>0</v>
      </c>
      <c r="L9" s="982">
        <f t="shared" si="7"/>
        <v>0</v>
      </c>
      <c r="M9" s="982">
        <f t="shared" si="8"/>
        <v>0</v>
      </c>
      <c r="N9" s="981">
        <f>'Table 5C1A-Madison Prep'!N9</f>
        <v>5431</v>
      </c>
      <c r="O9" s="983">
        <f t="shared" si="9"/>
        <v>0</v>
      </c>
      <c r="P9" s="1029">
        <f t="shared" si="10"/>
        <v>0</v>
      </c>
      <c r="Q9" s="983">
        <f t="shared" si="11"/>
        <v>0</v>
      </c>
      <c r="R9" s="983">
        <v>0</v>
      </c>
      <c r="S9" s="983">
        <f t="shared" si="12"/>
        <v>0</v>
      </c>
      <c r="T9" s="983">
        <f t="shared" si="13"/>
        <v>0</v>
      </c>
      <c r="U9" s="984">
        <f t="shared" si="14"/>
        <v>0</v>
      </c>
      <c r="V9" s="984">
        <f t="shared" si="14"/>
        <v>0</v>
      </c>
    </row>
    <row r="10" spans="1:22">
      <c r="A10" s="960">
        <v>4</v>
      </c>
      <c r="B10" s="961" t="s">
        <v>96</v>
      </c>
      <c r="C10" s="1078">
        <f>'2-1-13 SIS'!M10</f>
        <v>0</v>
      </c>
      <c r="D10" s="962">
        <f>'Table 3 Levels 1&amp;2'!AL11</f>
        <v>5987.4993535453223</v>
      </c>
      <c r="E10" s="1011">
        <f t="shared" si="2"/>
        <v>0</v>
      </c>
      <c r="F10" s="1011">
        <f>'Table 4 Level 3'!P9</f>
        <v>585.76</v>
      </c>
      <c r="G10" s="1011">
        <f t="shared" si="3"/>
        <v>0</v>
      </c>
      <c r="H10" s="982">
        <f t="shared" si="4"/>
        <v>0</v>
      </c>
      <c r="I10" s="1021">
        <f t="shared" si="5"/>
        <v>0</v>
      </c>
      <c r="J10" s="982">
        <f t="shared" si="6"/>
        <v>0</v>
      </c>
      <c r="K10" s="982">
        <v>0</v>
      </c>
      <c r="L10" s="982">
        <f t="shared" si="7"/>
        <v>0</v>
      </c>
      <c r="M10" s="982">
        <f t="shared" si="8"/>
        <v>0</v>
      </c>
      <c r="N10" s="981">
        <f>'Table 5C1A-Madison Prep'!N10</f>
        <v>3029</v>
      </c>
      <c r="O10" s="983">
        <f t="shared" si="9"/>
        <v>0</v>
      </c>
      <c r="P10" s="1029">
        <f t="shared" si="10"/>
        <v>0</v>
      </c>
      <c r="Q10" s="983">
        <f t="shared" si="11"/>
        <v>0</v>
      </c>
      <c r="R10" s="983">
        <v>0</v>
      </c>
      <c r="S10" s="983">
        <f t="shared" si="12"/>
        <v>0</v>
      </c>
      <c r="T10" s="983">
        <f t="shared" si="13"/>
        <v>0</v>
      </c>
      <c r="U10" s="984">
        <f t="shared" si="14"/>
        <v>0</v>
      </c>
      <c r="V10" s="984">
        <f t="shared" si="14"/>
        <v>0</v>
      </c>
    </row>
    <row r="11" spans="1:22">
      <c r="A11" s="963">
        <v>5</v>
      </c>
      <c r="B11" s="964" t="s">
        <v>97</v>
      </c>
      <c r="C11" s="1079">
        <f>'2-1-13 SIS'!M11</f>
        <v>0</v>
      </c>
      <c r="D11" s="965">
        <f>'Table 3 Levels 1&amp;2'!AL12</f>
        <v>4986.8166927080074</v>
      </c>
      <c r="E11" s="1012">
        <f t="shared" si="2"/>
        <v>0</v>
      </c>
      <c r="F11" s="1012">
        <f>'Table 4 Level 3'!P10</f>
        <v>555.91</v>
      </c>
      <c r="G11" s="1012">
        <f t="shared" si="3"/>
        <v>0</v>
      </c>
      <c r="H11" s="985">
        <f t="shared" si="4"/>
        <v>0</v>
      </c>
      <c r="I11" s="1022">
        <f t="shared" si="5"/>
        <v>0</v>
      </c>
      <c r="J11" s="985">
        <f t="shared" si="6"/>
        <v>0</v>
      </c>
      <c r="K11" s="985">
        <v>0</v>
      </c>
      <c r="L11" s="985">
        <f t="shared" si="7"/>
        <v>0</v>
      </c>
      <c r="M11" s="985">
        <f t="shared" si="8"/>
        <v>0</v>
      </c>
      <c r="N11" s="986">
        <f>'Table 5C1A-Madison Prep'!N11</f>
        <v>1751</v>
      </c>
      <c r="O11" s="987">
        <f t="shared" si="9"/>
        <v>0</v>
      </c>
      <c r="P11" s="1030">
        <f t="shared" si="10"/>
        <v>0</v>
      </c>
      <c r="Q11" s="987">
        <f t="shared" si="11"/>
        <v>0</v>
      </c>
      <c r="R11" s="987">
        <v>0</v>
      </c>
      <c r="S11" s="987">
        <f t="shared" si="12"/>
        <v>0</v>
      </c>
      <c r="T11" s="987">
        <f t="shared" si="13"/>
        <v>0</v>
      </c>
      <c r="U11" s="988">
        <f t="shared" si="14"/>
        <v>0</v>
      </c>
      <c r="V11" s="988">
        <f t="shared" si="14"/>
        <v>0</v>
      </c>
    </row>
    <row r="12" spans="1:22">
      <c r="A12" s="953">
        <v>6</v>
      </c>
      <c r="B12" s="954" t="s">
        <v>98</v>
      </c>
      <c r="C12" s="1080">
        <f>'2-1-13 SIS'!M12</f>
        <v>0</v>
      </c>
      <c r="D12" s="956">
        <f>'Table 3 Levels 1&amp;2'!AL13</f>
        <v>5412.7883404260592</v>
      </c>
      <c r="E12" s="1010">
        <f t="shared" si="2"/>
        <v>0</v>
      </c>
      <c r="F12" s="1010">
        <f>'Table 4 Level 3'!P11</f>
        <v>545.4799999999999</v>
      </c>
      <c r="G12" s="1010">
        <f t="shared" si="3"/>
        <v>0</v>
      </c>
      <c r="H12" s="957">
        <f t="shared" si="4"/>
        <v>0</v>
      </c>
      <c r="I12" s="1020">
        <f t="shared" si="5"/>
        <v>0</v>
      </c>
      <c r="J12" s="957">
        <f t="shared" si="6"/>
        <v>0</v>
      </c>
      <c r="K12" s="957">
        <v>0</v>
      </c>
      <c r="L12" s="957">
        <f t="shared" si="7"/>
        <v>0</v>
      </c>
      <c r="M12" s="957">
        <f t="shared" si="8"/>
        <v>0</v>
      </c>
      <c r="N12" s="981">
        <f>'Table 5C1A-Madison Prep'!N12</f>
        <v>3735</v>
      </c>
      <c r="O12" s="958">
        <f t="shared" si="9"/>
        <v>0</v>
      </c>
      <c r="P12" s="1028">
        <f t="shared" si="10"/>
        <v>0</v>
      </c>
      <c r="Q12" s="958">
        <f t="shared" si="11"/>
        <v>0</v>
      </c>
      <c r="R12" s="958">
        <v>0</v>
      </c>
      <c r="S12" s="958">
        <f t="shared" si="12"/>
        <v>0</v>
      </c>
      <c r="T12" s="958">
        <f t="shared" si="13"/>
        <v>0</v>
      </c>
      <c r="U12" s="959">
        <f t="shared" si="14"/>
        <v>0</v>
      </c>
      <c r="V12" s="959">
        <f t="shared" si="14"/>
        <v>0</v>
      </c>
    </row>
    <row r="13" spans="1:22">
      <c r="A13" s="960">
        <v>7</v>
      </c>
      <c r="B13" s="961" t="s">
        <v>99</v>
      </c>
      <c r="C13" s="1078">
        <f>'2-1-13 SIS'!M13</f>
        <v>0</v>
      </c>
      <c r="D13" s="962">
        <f>'Table 3 Levels 1&amp;2'!AL14</f>
        <v>1766.1023604176123</v>
      </c>
      <c r="E13" s="1011">
        <f t="shared" si="2"/>
        <v>0</v>
      </c>
      <c r="F13" s="1011">
        <f>'Table 4 Level 3'!P12</f>
        <v>756.91999999999985</v>
      </c>
      <c r="G13" s="1011">
        <f t="shared" si="3"/>
        <v>0</v>
      </c>
      <c r="H13" s="982">
        <f t="shared" si="4"/>
        <v>0</v>
      </c>
      <c r="I13" s="1021">
        <f t="shared" si="5"/>
        <v>0</v>
      </c>
      <c r="J13" s="982">
        <f t="shared" si="6"/>
        <v>0</v>
      </c>
      <c r="K13" s="982">
        <v>0</v>
      </c>
      <c r="L13" s="982">
        <f t="shared" si="7"/>
        <v>0</v>
      </c>
      <c r="M13" s="982">
        <f t="shared" si="8"/>
        <v>0</v>
      </c>
      <c r="N13" s="981">
        <f>'Table 5C1A-Madison Prep'!N13</f>
        <v>11329</v>
      </c>
      <c r="O13" s="983">
        <f t="shared" si="9"/>
        <v>0</v>
      </c>
      <c r="P13" s="1029">
        <f t="shared" si="10"/>
        <v>0</v>
      </c>
      <c r="Q13" s="983">
        <f t="shared" si="11"/>
        <v>0</v>
      </c>
      <c r="R13" s="983">
        <v>0</v>
      </c>
      <c r="S13" s="983">
        <f t="shared" si="12"/>
        <v>0</v>
      </c>
      <c r="T13" s="983">
        <f t="shared" si="13"/>
        <v>0</v>
      </c>
      <c r="U13" s="984">
        <f t="shared" si="14"/>
        <v>0</v>
      </c>
      <c r="V13" s="984">
        <f t="shared" si="14"/>
        <v>0</v>
      </c>
    </row>
    <row r="14" spans="1:22">
      <c r="A14" s="960">
        <v>8</v>
      </c>
      <c r="B14" s="961" t="s">
        <v>100</v>
      </c>
      <c r="C14" s="1078">
        <f>'2-1-13 SIS'!M14</f>
        <v>0</v>
      </c>
      <c r="D14" s="962">
        <f>'Table 3 Levels 1&amp;2'!AL15</f>
        <v>4289.5073606712331</v>
      </c>
      <c r="E14" s="1011">
        <f t="shared" si="2"/>
        <v>0</v>
      </c>
      <c r="F14" s="1011">
        <f>'Table 4 Level 3'!P13</f>
        <v>725.76</v>
      </c>
      <c r="G14" s="1011">
        <f t="shared" si="3"/>
        <v>0</v>
      </c>
      <c r="H14" s="982">
        <f t="shared" si="4"/>
        <v>0</v>
      </c>
      <c r="I14" s="1021">
        <f t="shared" si="5"/>
        <v>0</v>
      </c>
      <c r="J14" s="982">
        <f t="shared" si="6"/>
        <v>0</v>
      </c>
      <c r="K14" s="982">
        <v>0</v>
      </c>
      <c r="L14" s="982">
        <f t="shared" si="7"/>
        <v>0</v>
      </c>
      <c r="M14" s="982">
        <f t="shared" si="8"/>
        <v>0</v>
      </c>
      <c r="N14" s="981">
        <f>'Table 5C1A-Madison Prep'!N14</f>
        <v>3915</v>
      </c>
      <c r="O14" s="983">
        <f t="shared" si="9"/>
        <v>0</v>
      </c>
      <c r="P14" s="1029">
        <f t="shared" si="10"/>
        <v>0</v>
      </c>
      <c r="Q14" s="983">
        <f t="shared" si="11"/>
        <v>0</v>
      </c>
      <c r="R14" s="983">
        <v>0</v>
      </c>
      <c r="S14" s="983">
        <f t="shared" si="12"/>
        <v>0</v>
      </c>
      <c r="T14" s="983">
        <f t="shared" si="13"/>
        <v>0</v>
      </c>
      <c r="U14" s="984">
        <f t="shared" si="14"/>
        <v>0</v>
      </c>
      <c r="V14" s="984">
        <f t="shared" si="14"/>
        <v>0</v>
      </c>
    </row>
    <row r="15" spans="1:22">
      <c r="A15" s="960">
        <v>9</v>
      </c>
      <c r="B15" s="961" t="s">
        <v>101</v>
      </c>
      <c r="C15" s="1078">
        <f>'2-1-13 SIS'!M15</f>
        <v>0</v>
      </c>
      <c r="D15" s="962">
        <f>'Table 3 Levels 1&amp;2'!AL16</f>
        <v>4395.6154516889328</v>
      </c>
      <c r="E15" s="1011">
        <f t="shared" si="2"/>
        <v>0</v>
      </c>
      <c r="F15" s="1011">
        <f>'Table 4 Level 3'!P14</f>
        <v>744.76</v>
      </c>
      <c r="G15" s="1011">
        <f t="shared" si="3"/>
        <v>0</v>
      </c>
      <c r="H15" s="982">
        <f t="shared" si="4"/>
        <v>0</v>
      </c>
      <c r="I15" s="1021">
        <f t="shared" si="5"/>
        <v>0</v>
      </c>
      <c r="J15" s="982">
        <f t="shared" si="6"/>
        <v>0</v>
      </c>
      <c r="K15" s="982">
        <v>0</v>
      </c>
      <c r="L15" s="982">
        <f t="shared" si="7"/>
        <v>0</v>
      </c>
      <c r="M15" s="982">
        <f t="shared" si="8"/>
        <v>0</v>
      </c>
      <c r="N15" s="981">
        <f>'Table 5C1A-Madison Prep'!N15</f>
        <v>4627</v>
      </c>
      <c r="O15" s="983">
        <f t="shared" si="9"/>
        <v>0</v>
      </c>
      <c r="P15" s="1029">
        <f t="shared" si="10"/>
        <v>0</v>
      </c>
      <c r="Q15" s="983">
        <f t="shared" si="11"/>
        <v>0</v>
      </c>
      <c r="R15" s="983">
        <v>0</v>
      </c>
      <c r="S15" s="983">
        <f t="shared" si="12"/>
        <v>0</v>
      </c>
      <c r="T15" s="983">
        <f t="shared" si="13"/>
        <v>0</v>
      </c>
      <c r="U15" s="984">
        <f t="shared" si="14"/>
        <v>0</v>
      </c>
      <c r="V15" s="984">
        <f t="shared" si="14"/>
        <v>0</v>
      </c>
    </row>
    <row r="16" spans="1:22">
      <c r="A16" s="963">
        <v>10</v>
      </c>
      <c r="B16" s="964" t="s">
        <v>102</v>
      </c>
      <c r="C16" s="1079">
        <f>'2-1-13 SIS'!M16</f>
        <v>755</v>
      </c>
      <c r="D16" s="965">
        <f>'Table 3 Levels 1&amp;2'!AL17</f>
        <v>4253.5980618992444</v>
      </c>
      <c r="E16" s="1012">
        <f t="shared" si="2"/>
        <v>3211466.5367339295</v>
      </c>
      <c r="F16" s="1012">
        <f>'Table 4 Level 3'!P15</f>
        <v>608.04000000000008</v>
      </c>
      <c r="G16" s="1012">
        <f t="shared" si="3"/>
        <v>459070.20000000007</v>
      </c>
      <c r="H16" s="985">
        <f t="shared" si="4"/>
        <v>3670536.7367339297</v>
      </c>
      <c r="I16" s="1022">
        <f t="shared" si="5"/>
        <v>-9176.3418418348247</v>
      </c>
      <c r="J16" s="985">
        <f t="shared" si="6"/>
        <v>3661360.3948920951</v>
      </c>
      <c r="K16" s="985">
        <v>0</v>
      </c>
      <c r="L16" s="985">
        <f t="shared" si="7"/>
        <v>3661360.3948920951</v>
      </c>
      <c r="M16" s="985">
        <f t="shared" si="8"/>
        <v>305113.36624100793</v>
      </c>
      <c r="N16" s="986">
        <f>'Table 5C1A-Madison Prep'!N16</f>
        <v>4489</v>
      </c>
      <c r="O16" s="987">
        <f t="shared" si="9"/>
        <v>3389195</v>
      </c>
      <c r="P16" s="1030">
        <f t="shared" si="10"/>
        <v>-8472.9874999999993</v>
      </c>
      <c r="Q16" s="987">
        <f t="shared" si="11"/>
        <v>3380722.0125000002</v>
      </c>
      <c r="R16" s="987">
        <v>0</v>
      </c>
      <c r="S16" s="987">
        <f t="shared" si="12"/>
        <v>3380722.0125000002</v>
      </c>
      <c r="T16" s="987">
        <f t="shared" si="13"/>
        <v>281726.83437500003</v>
      </c>
      <c r="U16" s="988">
        <f t="shared" si="14"/>
        <v>7042082.4073920958</v>
      </c>
      <c r="V16" s="988">
        <f t="shared" si="14"/>
        <v>586840.2006160079</v>
      </c>
    </row>
    <row r="17" spans="1:22">
      <c r="A17" s="953">
        <v>11</v>
      </c>
      <c r="B17" s="954" t="s">
        <v>103</v>
      </c>
      <c r="C17" s="1080">
        <f>'2-1-13 SIS'!M17</f>
        <v>0</v>
      </c>
      <c r="D17" s="956">
        <f>'Table 3 Levels 1&amp;2'!AL18</f>
        <v>6852.9138435383502</v>
      </c>
      <c r="E17" s="1010">
        <f t="shared" si="2"/>
        <v>0</v>
      </c>
      <c r="F17" s="1010">
        <f>'Table 4 Level 3'!P16</f>
        <v>706.55</v>
      </c>
      <c r="G17" s="1010">
        <f t="shared" si="3"/>
        <v>0</v>
      </c>
      <c r="H17" s="957">
        <f t="shared" si="4"/>
        <v>0</v>
      </c>
      <c r="I17" s="1020">
        <f t="shared" si="5"/>
        <v>0</v>
      </c>
      <c r="J17" s="957">
        <f t="shared" si="6"/>
        <v>0</v>
      </c>
      <c r="K17" s="957">
        <v>0</v>
      </c>
      <c r="L17" s="957">
        <f t="shared" si="7"/>
        <v>0</v>
      </c>
      <c r="M17" s="957">
        <f t="shared" si="8"/>
        <v>0</v>
      </c>
      <c r="N17" s="981">
        <f>'Table 5C1A-Madison Prep'!N17</f>
        <v>3654</v>
      </c>
      <c r="O17" s="958">
        <f t="shared" si="9"/>
        <v>0</v>
      </c>
      <c r="P17" s="1028">
        <f t="shared" si="10"/>
        <v>0</v>
      </c>
      <c r="Q17" s="958">
        <f t="shared" si="11"/>
        <v>0</v>
      </c>
      <c r="R17" s="958">
        <v>0</v>
      </c>
      <c r="S17" s="958">
        <f t="shared" si="12"/>
        <v>0</v>
      </c>
      <c r="T17" s="958">
        <f t="shared" si="13"/>
        <v>0</v>
      </c>
      <c r="U17" s="959">
        <f t="shared" si="14"/>
        <v>0</v>
      </c>
      <c r="V17" s="959">
        <f t="shared" si="14"/>
        <v>0</v>
      </c>
    </row>
    <row r="18" spans="1:22">
      <c r="A18" s="960">
        <v>12</v>
      </c>
      <c r="B18" s="961" t="s">
        <v>104</v>
      </c>
      <c r="C18" s="1078">
        <f>'2-1-13 SIS'!M18</f>
        <v>0</v>
      </c>
      <c r="D18" s="962">
        <f>'Table 3 Levels 1&amp;2'!AL19</f>
        <v>1733.9056059356967</v>
      </c>
      <c r="E18" s="1011">
        <f t="shared" si="2"/>
        <v>0</v>
      </c>
      <c r="F18" s="1011">
        <f>'Table 4 Level 3'!P17</f>
        <v>1063.31</v>
      </c>
      <c r="G18" s="1011">
        <f t="shared" si="3"/>
        <v>0</v>
      </c>
      <c r="H18" s="982">
        <f t="shared" si="4"/>
        <v>0</v>
      </c>
      <c r="I18" s="1021">
        <f t="shared" si="5"/>
        <v>0</v>
      </c>
      <c r="J18" s="982">
        <f t="shared" si="6"/>
        <v>0</v>
      </c>
      <c r="K18" s="982">
        <v>0</v>
      </c>
      <c r="L18" s="982">
        <f t="shared" si="7"/>
        <v>0</v>
      </c>
      <c r="M18" s="982">
        <f t="shared" si="8"/>
        <v>0</v>
      </c>
      <c r="N18" s="981">
        <f>'Table 5C1A-Madison Prep'!N18</f>
        <v>13767</v>
      </c>
      <c r="O18" s="983">
        <f t="shared" si="9"/>
        <v>0</v>
      </c>
      <c r="P18" s="1029">
        <f t="shared" si="10"/>
        <v>0</v>
      </c>
      <c r="Q18" s="983">
        <f t="shared" si="11"/>
        <v>0</v>
      </c>
      <c r="R18" s="983">
        <v>0</v>
      </c>
      <c r="S18" s="983">
        <f t="shared" si="12"/>
        <v>0</v>
      </c>
      <c r="T18" s="983">
        <f t="shared" si="13"/>
        <v>0</v>
      </c>
      <c r="U18" s="984">
        <f t="shared" si="14"/>
        <v>0</v>
      </c>
      <c r="V18" s="984">
        <f t="shared" si="14"/>
        <v>0</v>
      </c>
    </row>
    <row r="19" spans="1:22">
      <c r="A19" s="960">
        <v>13</v>
      </c>
      <c r="B19" s="961" t="s">
        <v>105</v>
      </c>
      <c r="C19" s="1078">
        <f>'2-1-13 SIS'!M19</f>
        <v>0</v>
      </c>
      <c r="D19" s="962">
        <f>'Table 3 Levels 1&amp;2'!AL20</f>
        <v>6254.1238637730876</v>
      </c>
      <c r="E19" s="1011">
        <f t="shared" si="2"/>
        <v>0</v>
      </c>
      <c r="F19" s="1011">
        <f>'Table 4 Level 3'!P18</f>
        <v>749.43000000000006</v>
      </c>
      <c r="G19" s="1011">
        <f t="shared" si="3"/>
        <v>0</v>
      </c>
      <c r="H19" s="982">
        <f t="shared" si="4"/>
        <v>0</v>
      </c>
      <c r="I19" s="1021">
        <f t="shared" si="5"/>
        <v>0</v>
      </c>
      <c r="J19" s="982">
        <f t="shared" si="6"/>
        <v>0</v>
      </c>
      <c r="K19" s="982">
        <v>0</v>
      </c>
      <c r="L19" s="982">
        <f t="shared" si="7"/>
        <v>0</v>
      </c>
      <c r="M19" s="982">
        <f t="shared" si="8"/>
        <v>0</v>
      </c>
      <c r="N19" s="981">
        <f>'Table 5C1A-Madison Prep'!N19</f>
        <v>2525</v>
      </c>
      <c r="O19" s="983">
        <f t="shared" si="9"/>
        <v>0</v>
      </c>
      <c r="P19" s="1029">
        <f t="shared" si="10"/>
        <v>0</v>
      </c>
      <c r="Q19" s="983">
        <f t="shared" si="11"/>
        <v>0</v>
      </c>
      <c r="R19" s="983">
        <v>0</v>
      </c>
      <c r="S19" s="983">
        <f t="shared" si="12"/>
        <v>0</v>
      </c>
      <c r="T19" s="983">
        <f t="shared" si="13"/>
        <v>0</v>
      </c>
      <c r="U19" s="984">
        <f t="shared" si="14"/>
        <v>0</v>
      </c>
      <c r="V19" s="984">
        <f t="shared" si="14"/>
        <v>0</v>
      </c>
    </row>
    <row r="20" spans="1:22">
      <c r="A20" s="960">
        <v>14</v>
      </c>
      <c r="B20" s="961" t="s">
        <v>106</v>
      </c>
      <c r="C20" s="1078">
        <f>'2-1-13 SIS'!M20</f>
        <v>0</v>
      </c>
      <c r="D20" s="962">
        <f>'Table 3 Levels 1&amp;2'!AL21</f>
        <v>5377.9187438545459</v>
      </c>
      <c r="E20" s="1011">
        <f t="shared" si="2"/>
        <v>0</v>
      </c>
      <c r="F20" s="1011">
        <f>'Table 4 Level 3'!P19</f>
        <v>809.9799999999999</v>
      </c>
      <c r="G20" s="1011">
        <f t="shared" si="3"/>
        <v>0</v>
      </c>
      <c r="H20" s="982">
        <f t="shared" si="4"/>
        <v>0</v>
      </c>
      <c r="I20" s="1021">
        <f t="shared" si="5"/>
        <v>0</v>
      </c>
      <c r="J20" s="982">
        <f t="shared" si="6"/>
        <v>0</v>
      </c>
      <c r="K20" s="982">
        <v>0</v>
      </c>
      <c r="L20" s="982">
        <f t="shared" si="7"/>
        <v>0</v>
      </c>
      <c r="M20" s="982">
        <f t="shared" si="8"/>
        <v>0</v>
      </c>
      <c r="N20" s="981">
        <f>'Table 5C1A-Madison Prep'!N20</f>
        <v>3988</v>
      </c>
      <c r="O20" s="983">
        <f t="shared" si="9"/>
        <v>0</v>
      </c>
      <c r="P20" s="1029">
        <f t="shared" si="10"/>
        <v>0</v>
      </c>
      <c r="Q20" s="983">
        <f t="shared" si="11"/>
        <v>0</v>
      </c>
      <c r="R20" s="983">
        <v>0</v>
      </c>
      <c r="S20" s="983">
        <f t="shared" si="12"/>
        <v>0</v>
      </c>
      <c r="T20" s="983">
        <f t="shared" si="13"/>
        <v>0</v>
      </c>
      <c r="U20" s="984">
        <f t="shared" si="14"/>
        <v>0</v>
      </c>
      <c r="V20" s="984">
        <f t="shared" si="14"/>
        <v>0</v>
      </c>
    </row>
    <row r="21" spans="1:22">
      <c r="A21" s="963">
        <v>15</v>
      </c>
      <c r="B21" s="964" t="s">
        <v>107</v>
      </c>
      <c r="C21" s="1079">
        <f>'2-1-13 SIS'!M21</f>
        <v>0</v>
      </c>
      <c r="D21" s="965">
        <f>'Table 3 Levels 1&amp;2'!AL22</f>
        <v>5527.7651197617861</v>
      </c>
      <c r="E21" s="1012">
        <f t="shared" si="2"/>
        <v>0</v>
      </c>
      <c r="F21" s="1012">
        <f>'Table 4 Level 3'!P20</f>
        <v>553.79999999999995</v>
      </c>
      <c r="G21" s="1012">
        <f t="shared" si="3"/>
        <v>0</v>
      </c>
      <c r="H21" s="985">
        <f t="shared" si="4"/>
        <v>0</v>
      </c>
      <c r="I21" s="1022">
        <f t="shared" si="5"/>
        <v>0</v>
      </c>
      <c r="J21" s="985">
        <f t="shared" si="6"/>
        <v>0</v>
      </c>
      <c r="K21" s="985">
        <v>0</v>
      </c>
      <c r="L21" s="985">
        <f t="shared" si="7"/>
        <v>0</v>
      </c>
      <c r="M21" s="985">
        <f t="shared" si="8"/>
        <v>0</v>
      </c>
      <c r="N21" s="986">
        <f>'Table 5C1A-Madison Prep'!N21</f>
        <v>2544</v>
      </c>
      <c r="O21" s="987">
        <f t="shared" si="9"/>
        <v>0</v>
      </c>
      <c r="P21" s="1030">
        <f t="shared" si="10"/>
        <v>0</v>
      </c>
      <c r="Q21" s="987">
        <f t="shared" si="11"/>
        <v>0</v>
      </c>
      <c r="R21" s="987">
        <v>0</v>
      </c>
      <c r="S21" s="987">
        <f t="shared" si="12"/>
        <v>0</v>
      </c>
      <c r="T21" s="987">
        <f t="shared" si="13"/>
        <v>0</v>
      </c>
      <c r="U21" s="988">
        <f t="shared" si="14"/>
        <v>0</v>
      </c>
      <c r="V21" s="988">
        <f t="shared" si="14"/>
        <v>0</v>
      </c>
    </row>
    <row r="22" spans="1:22">
      <c r="A22" s="953">
        <v>16</v>
      </c>
      <c r="B22" s="954" t="s">
        <v>108</v>
      </c>
      <c r="C22" s="1080">
        <f>'2-1-13 SIS'!M22</f>
        <v>0</v>
      </c>
      <c r="D22" s="956">
        <f>'Table 3 Levels 1&amp;2'!AL23</f>
        <v>1530.3678845377474</v>
      </c>
      <c r="E22" s="1010">
        <f t="shared" si="2"/>
        <v>0</v>
      </c>
      <c r="F22" s="1010">
        <f>'Table 4 Level 3'!P21</f>
        <v>686.73</v>
      </c>
      <c r="G22" s="1010">
        <f t="shared" si="3"/>
        <v>0</v>
      </c>
      <c r="H22" s="957">
        <f t="shared" si="4"/>
        <v>0</v>
      </c>
      <c r="I22" s="1020">
        <f t="shared" si="5"/>
        <v>0</v>
      </c>
      <c r="J22" s="957">
        <f t="shared" si="6"/>
        <v>0</v>
      </c>
      <c r="K22" s="957">
        <v>0</v>
      </c>
      <c r="L22" s="957">
        <f t="shared" si="7"/>
        <v>0</v>
      </c>
      <c r="M22" s="957">
        <f t="shared" si="8"/>
        <v>0</v>
      </c>
      <c r="N22" s="981">
        <f>'Table 5C1A-Madison Prep'!N22</f>
        <v>12132</v>
      </c>
      <c r="O22" s="958">
        <f t="shared" si="9"/>
        <v>0</v>
      </c>
      <c r="P22" s="1028">
        <f t="shared" si="10"/>
        <v>0</v>
      </c>
      <c r="Q22" s="958">
        <f t="shared" si="11"/>
        <v>0</v>
      </c>
      <c r="R22" s="958">
        <v>0</v>
      </c>
      <c r="S22" s="958">
        <f t="shared" si="12"/>
        <v>0</v>
      </c>
      <c r="T22" s="958">
        <f t="shared" si="13"/>
        <v>0</v>
      </c>
      <c r="U22" s="959">
        <f t="shared" si="14"/>
        <v>0</v>
      </c>
      <c r="V22" s="959">
        <f t="shared" si="14"/>
        <v>0</v>
      </c>
    </row>
    <row r="23" spans="1:22">
      <c r="A23" s="960">
        <v>17</v>
      </c>
      <c r="B23" s="961" t="s">
        <v>109</v>
      </c>
      <c r="C23" s="1078">
        <f>'2-1-13 SIS'!M23</f>
        <v>0</v>
      </c>
      <c r="D23" s="962">
        <f>'Table 3 Levels 1&amp;2'!AL24</f>
        <v>3313.0666313017805</v>
      </c>
      <c r="E23" s="1011">
        <f t="shared" si="2"/>
        <v>0</v>
      </c>
      <c r="F23" s="1011">
        <f>'Table 5B2_RSD_LA'!F7</f>
        <v>801.47762416806802</v>
      </c>
      <c r="G23" s="1011">
        <f t="shared" si="3"/>
        <v>0</v>
      </c>
      <c r="H23" s="982">
        <f t="shared" si="4"/>
        <v>0</v>
      </c>
      <c r="I23" s="1021">
        <f t="shared" si="5"/>
        <v>0</v>
      </c>
      <c r="J23" s="982">
        <f t="shared" si="6"/>
        <v>0</v>
      </c>
      <c r="K23" s="982">
        <v>0</v>
      </c>
      <c r="L23" s="982">
        <f t="shared" si="7"/>
        <v>0</v>
      </c>
      <c r="M23" s="982">
        <f t="shared" si="8"/>
        <v>0</v>
      </c>
      <c r="N23" s="981">
        <f>'Table 5C1A-Madison Prep'!N23</f>
        <v>6764</v>
      </c>
      <c r="O23" s="983">
        <f t="shared" si="9"/>
        <v>0</v>
      </c>
      <c r="P23" s="1029">
        <f t="shared" si="10"/>
        <v>0</v>
      </c>
      <c r="Q23" s="983">
        <f t="shared" si="11"/>
        <v>0</v>
      </c>
      <c r="R23" s="983">
        <v>0</v>
      </c>
      <c r="S23" s="983">
        <f t="shared" si="12"/>
        <v>0</v>
      </c>
      <c r="T23" s="983">
        <f t="shared" si="13"/>
        <v>0</v>
      </c>
      <c r="U23" s="984">
        <f t="shared" si="14"/>
        <v>0</v>
      </c>
      <c r="V23" s="984">
        <f t="shared" si="14"/>
        <v>0</v>
      </c>
    </row>
    <row r="24" spans="1:22">
      <c r="A24" s="960">
        <v>18</v>
      </c>
      <c r="B24" s="961" t="s">
        <v>110</v>
      </c>
      <c r="C24" s="1078">
        <f>'2-1-13 SIS'!M24</f>
        <v>0</v>
      </c>
      <c r="D24" s="962">
        <f>'Table 3 Levels 1&amp;2'!AL25</f>
        <v>5989.1351892854573</v>
      </c>
      <c r="E24" s="1011">
        <f t="shared" si="2"/>
        <v>0</v>
      </c>
      <c r="F24" s="1011">
        <f>'Table 4 Level 3'!P23</f>
        <v>845.94999999999993</v>
      </c>
      <c r="G24" s="1011">
        <f t="shared" si="3"/>
        <v>0</v>
      </c>
      <c r="H24" s="982">
        <f t="shared" si="4"/>
        <v>0</v>
      </c>
      <c r="I24" s="1021">
        <f t="shared" si="5"/>
        <v>0</v>
      </c>
      <c r="J24" s="982">
        <f t="shared" si="6"/>
        <v>0</v>
      </c>
      <c r="K24" s="982">
        <v>0</v>
      </c>
      <c r="L24" s="982">
        <f t="shared" si="7"/>
        <v>0</v>
      </c>
      <c r="M24" s="982">
        <f t="shared" si="8"/>
        <v>0</v>
      </c>
      <c r="N24" s="981">
        <f>'Table 5C1A-Madison Prep'!N24</f>
        <v>2925</v>
      </c>
      <c r="O24" s="983">
        <f t="shared" si="9"/>
        <v>0</v>
      </c>
      <c r="P24" s="1029">
        <f t="shared" si="10"/>
        <v>0</v>
      </c>
      <c r="Q24" s="983">
        <f t="shared" si="11"/>
        <v>0</v>
      </c>
      <c r="R24" s="983">
        <v>0</v>
      </c>
      <c r="S24" s="983">
        <f t="shared" si="12"/>
        <v>0</v>
      </c>
      <c r="T24" s="983">
        <f t="shared" si="13"/>
        <v>0</v>
      </c>
      <c r="U24" s="984">
        <f t="shared" si="14"/>
        <v>0</v>
      </c>
      <c r="V24" s="984">
        <f t="shared" si="14"/>
        <v>0</v>
      </c>
    </row>
    <row r="25" spans="1:22">
      <c r="A25" s="960">
        <v>19</v>
      </c>
      <c r="B25" s="961" t="s">
        <v>111</v>
      </c>
      <c r="C25" s="1078">
        <f>'2-1-13 SIS'!M25</f>
        <v>0</v>
      </c>
      <c r="D25" s="962">
        <f>'Table 3 Levels 1&amp;2'!AL26</f>
        <v>5315.8913399708035</v>
      </c>
      <c r="E25" s="1011">
        <f t="shared" si="2"/>
        <v>0</v>
      </c>
      <c r="F25" s="1011">
        <f>'Table 4 Level 3'!P24</f>
        <v>905.43</v>
      </c>
      <c r="G25" s="1011">
        <f t="shared" si="3"/>
        <v>0</v>
      </c>
      <c r="H25" s="982">
        <f t="shared" si="4"/>
        <v>0</v>
      </c>
      <c r="I25" s="1021">
        <f t="shared" si="5"/>
        <v>0</v>
      </c>
      <c r="J25" s="982">
        <f t="shared" si="6"/>
        <v>0</v>
      </c>
      <c r="K25" s="982">
        <v>0</v>
      </c>
      <c r="L25" s="982">
        <f t="shared" si="7"/>
        <v>0</v>
      </c>
      <c r="M25" s="982">
        <f t="shared" si="8"/>
        <v>0</v>
      </c>
      <c r="N25" s="981">
        <f>'Table 5C1A-Madison Prep'!N25</f>
        <v>2570</v>
      </c>
      <c r="O25" s="983">
        <f t="shared" si="9"/>
        <v>0</v>
      </c>
      <c r="P25" s="1029">
        <f t="shared" si="10"/>
        <v>0</v>
      </c>
      <c r="Q25" s="983">
        <f t="shared" si="11"/>
        <v>0</v>
      </c>
      <c r="R25" s="983">
        <v>0</v>
      </c>
      <c r="S25" s="983">
        <f t="shared" si="12"/>
        <v>0</v>
      </c>
      <c r="T25" s="983">
        <f t="shared" si="13"/>
        <v>0</v>
      </c>
      <c r="U25" s="984">
        <f t="shared" si="14"/>
        <v>0</v>
      </c>
      <c r="V25" s="984">
        <f t="shared" si="14"/>
        <v>0</v>
      </c>
    </row>
    <row r="26" spans="1:22">
      <c r="A26" s="963">
        <v>20</v>
      </c>
      <c r="B26" s="964" t="s">
        <v>112</v>
      </c>
      <c r="C26" s="1079">
        <f>'2-1-13 SIS'!M26</f>
        <v>0</v>
      </c>
      <c r="D26" s="965">
        <f>'Table 3 Levels 1&amp;2'!AL27</f>
        <v>5420.2042919205833</v>
      </c>
      <c r="E26" s="1012">
        <f t="shared" si="2"/>
        <v>0</v>
      </c>
      <c r="F26" s="1012">
        <f>'Table 4 Level 3'!P25</f>
        <v>586.16999999999996</v>
      </c>
      <c r="G26" s="1012">
        <f t="shared" si="3"/>
        <v>0</v>
      </c>
      <c r="H26" s="985">
        <f t="shared" si="4"/>
        <v>0</v>
      </c>
      <c r="I26" s="1022">
        <f t="shared" si="5"/>
        <v>0</v>
      </c>
      <c r="J26" s="985">
        <f t="shared" si="6"/>
        <v>0</v>
      </c>
      <c r="K26" s="985">
        <v>0</v>
      </c>
      <c r="L26" s="985">
        <f t="shared" si="7"/>
        <v>0</v>
      </c>
      <c r="M26" s="985">
        <f t="shared" si="8"/>
        <v>0</v>
      </c>
      <c r="N26" s="986">
        <f>'Table 5C1A-Madison Prep'!N26</f>
        <v>2420</v>
      </c>
      <c r="O26" s="987">
        <f t="shared" si="9"/>
        <v>0</v>
      </c>
      <c r="P26" s="1030">
        <f t="shared" si="10"/>
        <v>0</v>
      </c>
      <c r="Q26" s="987">
        <f t="shared" si="11"/>
        <v>0</v>
      </c>
      <c r="R26" s="987">
        <v>0</v>
      </c>
      <c r="S26" s="987">
        <f t="shared" si="12"/>
        <v>0</v>
      </c>
      <c r="T26" s="987">
        <f t="shared" si="13"/>
        <v>0</v>
      </c>
      <c r="U26" s="988">
        <f t="shared" si="14"/>
        <v>0</v>
      </c>
      <c r="V26" s="988">
        <f t="shared" si="14"/>
        <v>0</v>
      </c>
    </row>
    <row r="27" spans="1:22">
      <c r="A27" s="953">
        <v>21</v>
      </c>
      <c r="B27" s="954" t="s">
        <v>113</v>
      </c>
      <c r="C27" s="1080">
        <f>'2-1-13 SIS'!M27</f>
        <v>0</v>
      </c>
      <c r="D27" s="956">
        <f>'Table 3 Levels 1&amp;2'!AL28</f>
        <v>5724.5404916279067</v>
      </c>
      <c r="E27" s="1010">
        <f t="shared" si="2"/>
        <v>0</v>
      </c>
      <c r="F27" s="1010">
        <f>'Table 4 Level 3'!P26</f>
        <v>610.35</v>
      </c>
      <c r="G27" s="1010">
        <f t="shared" si="3"/>
        <v>0</v>
      </c>
      <c r="H27" s="957">
        <f t="shared" si="4"/>
        <v>0</v>
      </c>
      <c r="I27" s="1020">
        <f t="shared" si="5"/>
        <v>0</v>
      </c>
      <c r="J27" s="957">
        <f t="shared" si="6"/>
        <v>0</v>
      </c>
      <c r="K27" s="957">
        <v>0</v>
      </c>
      <c r="L27" s="957">
        <f t="shared" si="7"/>
        <v>0</v>
      </c>
      <c r="M27" s="957">
        <f t="shared" si="8"/>
        <v>0</v>
      </c>
      <c r="N27" s="981">
        <f>'Table 5C1A-Madison Prep'!N27</f>
        <v>2265</v>
      </c>
      <c r="O27" s="958">
        <f t="shared" si="9"/>
        <v>0</v>
      </c>
      <c r="P27" s="1028">
        <f t="shared" si="10"/>
        <v>0</v>
      </c>
      <c r="Q27" s="958">
        <f t="shared" si="11"/>
        <v>0</v>
      </c>
      <c r="R27" s="958">
        <v>0</v>
      </c>
      <c r="S27" s="958">
        <f t="shared" si="12"/>
        <v>0</v>
      </c>
      <c r="T27" s="958">
        <f t="shared" si="13"/>
        <v>0</v>
      </c>
      <c r="U27" s="959">
        <f t="shared" si="14"/>
        <v>0</v>
      </c>
      <c r="V27" s="959">
        <f t="shared" si="14"/>
        <v>0</v>
      </c>
    </row>
    <row r="28" spans="1:22">
      <c r="A28" s="960">
        <v>22</v>
      </c>
      <c r="B28" s="961" t="s">
        <v>114</v>
      </c>
      <c r="C28" s="1078">
        <f>'2-1-13 SIS'!M28</f>
        <v>0</v>
      </c>
      <c r="D28" s="962">
        <f>'Table 3 Levels 1&amp;2'!AL29</f>
        <v>6203.2933768722742</v>
      </c>
      <c r="E28" s="1011">
        <f t="shared" si="2"/>
        <v>0</v>
      </c>
      <c r="F28" s="1011">
        <f>'Table 4 Level 3'!P27</f>
        <v>496.36</v>
      </c>
      <c r="G28" s="1011">
        <f t="shared" si="3"/>
        <v>0</v>
      </c>
      <c r="H28" s="982">
        <f t="shared" si="4"/>
        <v>0</v>
      </c>
      <c r="I28" s="1021">
        <f t="shared" si="5"/>
        <v>0</v>
      </c>
      <c r="J28" s="982">
        <f t="shared" si="6"/>
        <v>0</v>
      </c>
      <c r="K28" s="982">
        <v>0</v>
      </c>
      <c r="L28" s="982">
        <f t="shared" si="7"/>
        <v>0</v>
      </c>
      <c r="M28" s="982">
        <f t="shared" si="8"/>
        <v>0</v>
      </c>
      <c r="N28" s="981">
        <f>'Table 5C1A-Madison Prep'!N28</f>
        <v>1438</v>
      </c>
      <c r="O28" s="983">
        <f t="shared" si="9"/>
        <v>0</v>
      </c>
      <c r="P28" s="1029">
        <f t="shared" si="10"/>
        <v>0</v>
      </c>
      <c r="Q28" s="983">
        <f t="shared" si="11"/>
        <v>0</v>
      </c>
      <c r="R28" s="983">
        <v>0</v>
      </c>
      <c r="S28" s="983">
        <f t="shared" si="12"/>
        <v>0</v>
      </c>
      <c r="T28" s="983">
        <f t="shared" si="13"/>
        <v>0</v>
      </c>
      <c r="U28" s="984">
        <f t="shared" si="14"/>
        <v>0</v>
      </c>
      <c r="V28" s="984">
        <f t="shared" si="14"/>
        <v>0</v>
      </c>
    </row>
    <row r="29" spans="1:22">
      <c r="A29" s="960">
        <v>23</v>
      </c>
      <c r="B29" s="961" t="s">
        <v>115</v>
      </c>
      <c r="C29" s="1078">
        <f>'2-1-13 SIS'!M29</f>
        <v>0</v>
      </c>
      <c r="D29" s="962">
        <f>'Table 3 Levels 1&amp;2'!AL30</f>
        <v>4846.0802490067681</v>
      </c>
      <c r="E29" s="1011">
        <f t="shared" si="2"/>
        <v>0</v>
      </c>
      <c r="F29" s="1011">
        <f>'Table 4 Level 3'!P28</f>
        <v>688.58</v>
      </c>
      <c r="G29" s="1011">
        <f t="shared" si="3"/>
        <v>0</v>
      </c>
      <c r="H29" s="982">
        <f t="shared" si="4"/>
        <v>0</v>
      </c>
      <c r="I29" s="1021">
        <f t="shared" si="5"/>
        <v>0</v>
      </c>
      <c r="J29" s="982">
        <f t="shared" si="6"/>
        <v>0</v>
      </c>
      <c r="K29" s="982">
        <v>0</v>
      </c>
      <c r="L29" s="982">
        <f t="shared" si="7"/>
        <v>0</v>
      </c>
      <c r="M29" s="982">
        <f t="shared" si="8"/>
        <v>0</v>
      </c>
      <c r="N29" s="981">
        <f>'Table 5C1A-Madison Prep'!N29</f>
        <v>3386</v>
      </c>
      <c r="O29" s="983">
        <f t="shared" si="9"/>
        <v>0</v>
      </c>
      <c r="P29" s="1029">
        <f t="shared" si="10"/>
        <v>0</v>
      </c>
      <c r="Q29" s="983">
        <f t="shared" si="11"/>
        <v>0</v>
      </c>
      <c r="R29" s="983">
        <v>0</v>
      </c>
      <c r="S29" s="983">
        <f t="shared" si="12"/>
        <v>0</v>
      </c>
      <c r="T29" s="983">
        <f t="shared" si="13"/>
        <v>0</v>
      </c>
      <c r="U29" s="984">
        <f t="shared" si="14"/>
        <v>0</v>
      </c>
      <c r="V29" s="984">
        <f t="shared" si="14"/>
        <v>0</v>
      </c>
    </row>
    <row r="30" spans="1:22">
      <c r="A30" s="960">
        <v>24</v>
      </c>
      <c r="B30" s="961" t="s">
        <v>116</v>
      </c>
      <c r="C30" s="1078">
        <f>'2-1-13 SIS'!M30</f>
        <v>0</v>
      </c>
      <c r="D30" s="962">
        <f>'Table 3 Levels 1&amp;2'!AL31</f>
        <v>2764.1216755319151</v>
      </c>
      <c r="E30" s="1011">
        <f t="shared" si="2"/>
        <v>0</v>
      </c>
      <c r="F30" s="1011">
        <f>'Table 4 Level 3'!P29</f>
        <v>854.24999999999989</v>
      </c>
      <c r="G30" s="1011">
        <f t="shared" si="3"/>
        <v>0</v>
      </c>
      <c r="H30" s="982">
        <f t="shared" si="4"/>
        <v>0</v>
      </c>
      <c r="I30" s="1021">
        <f t="shared" si="5"/>
        <v>0</v>
      </c>
      <c r="J30" s="982">
        <f t="shared" si="6"/>
        <v>0</v>
      </c>
      <c r="K30" s="982">
        <v>0</v>
      </c>
      <c r="L30" s="982">
        <f t="shared" si="7"/>
        <v>0</v>
      </c>
      <c r="M30" s="982">
        <f t="shared" si="8"/>
        <v>0</v>
      </c>
      <c r="N30" s="981">
        <f>'Table 5C1A-Madison Prep'!N30</f>
        <v>9761</v>
      </c>
      <c r="O30" s="983">
        <f t="shared" si="9"/>
        <v>0</v>
      </c>
      <c r="P30" s="1029">
        <f t="shared" si="10"/>
        <v>0</v>
      </c>
      <c r="Q30" s="983">
        <f t="shared" si="11"/>
        <v>0</v>
      </c>
      <c r="R30" s="983">
        <v>0</v>
      </c>
      <c r="S30" s="983">
        <f t="shared" si="12"/>
        <v>0</v>
      </c>
      <c r="T30" s="983">
        <f t="shared" si="13"/>
        <v>0</v>
      </c>
      <c r="U30" s="984">
        <f t="shared" si="14"/>
        <v>0</v>
      </c>
      <c r="V30" s="984">
        <f t="shared" si="14"/>
        <v>0</v>
      </c>
    </row>
    <row r="31" spans="1:22">
      <c r="A31" s="963">
        <v>25</v>
      </c>
      <c r="B31" s="964" t="s">
        <v>117</v>
      </c>
      <c r="C31" s="1079">
        <f>'2-1-13 SIS'!M31</f>
        <v>0</v>
      </c>
      <c r="D31" s="965">
        <f>'Table 3 Levels 1&amp;2'!AL32</f>
        <v>3867.4480692053257</v>
      </c>
      <c r="E31" s="1012">
        <f t="shared" si="2"/>
        <v>0</v>
      </c>
      <c r="F31" s="1012">
        <f>'Table 4 Level 3'!P30</f>
        <v>653.73</v>
      </c>
      <c r="G31" s="1012">
        <f t="shared" si="3"/>
        <v>0</v>
      </c>
      <c r="H31" s="985">
        <f t="shared" si="4"/>
        <v>0</v>
      </c>
      <c r="I31" s="1022">
        <f t="shared" si="5"/>
        <v>0</v>
      </c>
      <c r="J31" s="985">
        <f t="shared" si="6"/>
        <v>0</v>
      </c>
      <c r="K31" s="985">
        <v>0</v>
      </c>
      <c r="L31" s="985">
        <f t="shared" si="7"/>
        <v>0</v>
      </c>
      <c r="M31" s="985">
        <f t="shared" si="8"/>
        <v>0</v>
      </c>
      <c r="N31" s="986">
        <f>'Table 5C1A-Madison Prep'!N31</f>
        <v>4842</v>
      </c>
      <c r="O31" s="987">
        <f t="shared" si="9"/>
        <v>0</v>
      </c>
      <c r="P31" s="1030">
        <f t="shared" si="10"/>
        <v>0</v>
      </c>
      <c r="Q31" s="987">
        <f t="shared" si="11"/>
        <v>0</v>
      </c>
      <c r="R31" s="987">
        <v>0</v>
      </c>
      <c r="S31" s="987">
        <f t="shared" si="12"/>
        <v>0</v>
      </c>
      <c r="T31" s="987">
        <f t="shared" si="13"/>
        <v>0</v>
      </c>
      <c r="U31" s="988">
        <f t="shared" si="14"/>
        <v>0</v>
      </c>
      <c r="V31" s="988">
        <f t="shared" si="14"/>
        <v>0</v>
      </c>
    </row>
    <row r="32" spans="1:22">
      <c r="A32" s="953">
        <v>26</v>
      </c>
      <c r="B32" s="954" t="s">
        <v>118</v>
      </c>
      <c r="C32" s="1080">
        <f>'2-1-13 SIS'!M32</f>
        <v>0</v>
      </c>
      <c r="D32" s="956">
        <f>'Table 3 Levels 1&amp;2'!AL33</f>
        <v>3293.481526790355</v>
      </c>
      <c r="E32" s="1010">
        <f t="shared" si="2"/>
        <v>0</v>
      </c>
      <c r="F32" s="1010">
        <f>'Table 4 Level 3'!P31</f>
        <v>836.83</v>
      </c>
      <c r="G32" s="1010">
        <f t="shared" si="3"/>
        <v>0</v>
      </c>
      <c r="H32" s="957">
        <f t="shared" si="4"/>
        <v>0</v>
      </c>
      <c r="I32" s="1020">
        <f t="shared" si="5"/>
        <v>0</v>
      </c>
      <c r="J32" s="957">
        <f t="shared" si="6"/>
        <v>0</v>
      </c>
      <c r="K32" s="957">
        <v>0</v>
      </c>
      <c r="L32" s="957">
        <f t="shared" si="7"/>
        <v>0</v>
      </c>
      <c r="M32" s="957">
        <f t="shared" si="8"/>
        <v>0</v>
      </c>
      <c r="N32" s="981">
        <f>'Table 5C1A-Madison Prep'!N32</f>
        <v>5301</v>
      </c>
      <c r="O32" s="958">
        <f t="shared" si="9"/>
        <v>0</v>
      </c>
      <c r="P32" s="1028">
        <f t="shared" si="10"/>
        <v>0</v>
      </c>
      <c r="Q32" s="958">
        <f t="shared" si="11"/>
        <v>0</v>
      </c>
      <c r="R32" s="958">
        <v>0</v>
      </c>
      <c r="S32" s="958">
        <f t="shared" si="12"/>
        <v>0</v>
      </c>
      <c r="T32" s="958">
        <f t="shared" si="13"/>
        <v>0</v>
      </c>
      <c r="U32" s="959">
        <f t="shared" si="14"/>
        <v>0</v>
      </c>
      <c r="V32" s="959">
        <f t="shared" si="14"/>
        <v>0</v>
      </c>
    </row>
    <row r="33" spans="1:22">
      <c r="A33" s="960">
        <v>27</v>
      </c>
      <c r="B33" s="961" t="s">
        <v>119</v>
      </c>
      <c r="C33" s="1081">
        <f>'2-1-13 SIS'!M33</f>
        <v>0</v>
      </c>
      <c r="D33" s="966">
        <f>'Table 3 Levels 1&amp;2'!AL34</f>
        <v>5680.7727517381973</v>
      </c>
      <c r="E33" s="1013">
        <f t="shared" si="2"/>
        <v>0</v>
      </c>
      <c r="F33" s="1013">
        <f>'Table 4 Level 3'!P32</f>
        <v>693.06</v>
      </c>
      <c r="G33" s="1013">
        <f t="shared" si="3"/>
        <v>0</v>
      </c>
      <c r="H33" s="989">
        <f t="shared" si="4"/>
        <v>0</v>
      </c>
      <c r="I33" s="1023">
        <f t="shared" si="5"/>
        <v>0</v>
      </c>
      <c r="J33" s="989">
        <f t="shared" si="6"/>
        <v>0</v>
      </c>
      <c r="K33" s="989">
        <v>0</v>
      </c>
      <c r="L33" s="989">
        <f t="shared" si="7"/>
        <v>0</v>
      </c>
      <c r="M33" s="989">
        <f t="shared" si="8"/>
        <v>0</v>
      </c>
      <c r="N33" s="981">
        <f>'Table 5C1A-Madison Prep'!N33</f>
        <v>3252</v>
      </c>
      <c r="O33" s="983">
        <f t="shared" si="9"/>
        <v>0</v>
      </c>
      <c r="P33" s="1029">
        <f t="shared" si="10"/>
        <v>0</v>
      </c>
      <c r="Q33" s="983">
        <f t="shared" si="11"/>
        <v>0</v>
      </c>
      <c r="R33" s="983">
        <v>0</v>
      </c>
      <c r="S33" s="983">
        <f t="shared" si="12"/>
        <v>0</v>
      </c>
      <c r="T33" s="983">
        <f t="shared" si="13"/>
        <v>0</v>
      </c>
      <c r="U33" s="984">
        <f t="shared" si="14"/>
        <v>0</v>
      </c>
      <c r="V33" s="984">
        <f t="shared" si="14"/>
        <v>0</v>
      </c>
    </row>
    <row r="34" spans="1:22">
      <c r="A34" s="960">
        <v>28</v>
      </c>
      <c r="B34" s="961" t="s">
        <v>120</v>
      </c>
      <c r="C34" s="1081">
        <f>'2-1-13 SIS'!M34</f>
        <v>0</v>
      </c>
      <c r="D34" s="966">
        <f>'Table 3 Levels 1&amp;2'!AL35</f>
        <v>3163.1694438483169</v>
      </c>
      <c r="E34" s="1013">
        <f t="shared" si="2"/>
        <v>0</v>
      </c>
      <c r="F34" s="1013">
        <f>'Table 4 Level 3'!P33</f>
        <v>694.4</v>
      </c>
      <c r="G34" s="1013">
        <f t="shared" si="3"/>
        <v>0</v>
      </c>
      <c r="H34" s="989">
        <f t="shared" si="4"/>
        <v>0</v>
      </c>
      <c r="I34" s="1023">
        <f t="shared" si="5"/>
        <v>0</v>
      </c>
      <c r="J34" s="989">
        <f t="shared" si="6"/>
        <v>0</v>
      </c>
      <c r="K34" s="989">
        <v>0</v>
      </c>
      <c r="L34" s="989">
        <f t="shared" si="7"/>
        <v>0</v>
      </c>
      <c r="M34" s="989">
        <f t="shared" si="8"/>
        <v>0</v>
      </c>
      <c r="N34" s="981">
        <f>'Table 5C1A-Madison Prep'!N34</f>
        <v>5361</v>
      </c>
      <c r="O34" s="983">
        <f t="shared" si="9"/>
        <v>0</v>
      </c>
      <c r="P34" s="1029">
        <f t="shared" si="10"/>
        <v>0</v>
      </c>
      <c r="Q34" s="983">
        <f t="shared" si="11"/>
        <v>0</v>
      </c>
      <c r="R34" s="983">
        <v>0</v>
      </c>
      <c r="S34" s="983">
        <f t="shared" si="12"/>
        <v>0</v>
      </c>
      <c r="T34" s="983">
        <f t="shared" si="13"/>
        <v>0</v>
      </c>
      <c r="U34" s="984">
        <f t="shared" si="14"/>
        <v>0</v>
      </c>
      <c r="V34" s="984">
        <f t="shared" si="14"/>
        <v>0</v>
      </c>
    </row>
    <row r="35" spans="1:22">
      <c r="A35" s="960">
        <v>29</v>
      </c>
      <c r="B35" s="961" t="s">
        <v>121</v>
      </c>
      <c r="C35" s="1081">
        <f>'2-1-13 SIS'!M35</f>
        <v>0</v>
      </c>
      <c r="D35" s="966">
        <f>'Table 3 Levels 1&amp;2'!AL36</f>
        <v>3952.5586133052648</v>
      </c>
      <c r="E35" s="1013">
        <f t="shared" si="2"/>
        <v>0</v>
      </c>
      <c r="F35" s="1013">
        <f>'Table 4 Level 3'!P34</f>
        <v>754.94999999999993</v>
      </c>
      <c r="G35" s="1013">
        <f t="shared" si="3"/>
        <v>0</v>
      </c>
      <c r="H35" s="989">
        <f t="shared" si="4"/>
        <v>0</v>
      </c>
      <c r="I35" s="1023">
        <f t="shared" si="5"/>
        <v>0</v>
      </c>
      <c r="J35" s="989">
        <f t="shared" si="6"/>
        <v>0</v>
      </c>
      <c r="K35" s="989">
        <v>0</v>
      </c>
      <c r="L35" s="989">
        <f t="shared" si="7"/>
        <v>0</v>
      </c>
      <c r="M35" s="989">
        <f t="shared" si="8"/>
        <v>0</v>
      </c>
      <c r="N35" s="981">
        <f>'Table 5C1A-Madison Prep'!N35</f>
        <v>4763</v>
      </c>
      <c r="O35" s="983">
        <f t="shared" si="9"/>
        <v>0</v>
      </c>
      <c r="P35" s="1029">
        <f t="shared" si="10"/>
        <v>0</v>
      </c>
      <c r="Q35" s="983">
        <f t="shared" si="11"/>
        <v>0</v>
      </c>
      <c r="R35" s="983">
        <v>0</v>
      </c>
      <c r="S35" s="983">
        <f t="shared" si="12"/>
        <v>0</v>
      </c>
      <c r="T35" s="983">
        <f t="shared" si="13"/>
        <v>0</v>
      </c>
      <c r="U35" s="984">
        <f t="shared" si="14"/>
        <v>0</v>
      </c>
      <c r="V35" s="984">
        <f t="shared" si="14"/>
        <v>0</v>
      </c>
    </row>
    <row r="36" spans="1:22">
      <c r="A36" s="963">
        <v>30</v>
      </c>
      <c r="B36" s="964" t="s">
        <v>122</v>
      </c>
      <c r="C36" s="1082">
        <f>'2-1-13 SIS'!M36</f>
        <v>0</v>
      </c>
      <c r="D36" s="967">
        <f>'Table 3 Levels 1&amp;2'!AL37</f>
        <v>5648.6510465852989</v>
      </c>
      <c r="E36" s="1014">
        <f t="shared" si="2"/>
        <v>0</v>
      </c>
      <c r="F36" s="1014">
        <f>'Table 4 Level 3'!P35</f>
        <v>727.17</v>
      </c>
      <c r="G36" s="1014">
        <f t="shared" si="3"/>
        <v>0</v>
      </c>
      <c r="H36" s="990">
        <f t="shared" si="4"/>
        <v>0</v>
      </c>
      <c r="I36" s="1024">
        <f t="shared" si="5"/>
        <v>0</v>
      </c>
      <c r="J36" s="990">
        <f t="shared" si="6"/>
        <v>0</v>
      </c>
      <c r="K36" s="990">
        <v>0</v>
      </c>
      <c r="L36" s="990">
        <f t="shared" si="7"/>
        <v>0</v>
      </c>
      <c r="M36" s="990">
        <f t="shared" si="8"/>
        <v>0</v>
      </c>
      <c r="N36" s="986">
        <f>'Table 5C1A-Madison Prep'!N36</f>
        <v>3236</v>
      </c>
      <c r="O36" s="987">
        <f t="shared" si="9"/>
        <v>0</v>
      </c>
      <c r="P36" s="1030">
        <f t="shared" si="10"/>
        <v>0</v>
      </c>
      <c r="Q36" s="987">
        <f t="shared" si="11"/>
        <v>0</v>
      </c>
      <c r="R36" s="987">
        <v>0</v>
      </c>
      <c r="S36" s="987">
        <f t="shared" si="12"/>
        <v>0</v>
      </c>
      <c r="T36" s="987">
        <f t="shared" si="13"/>
        <v>0</v>
      </c>
      <c r="U36" s="988">
        <f t="shared" si="14"/>
        <v>0</v>
      </c>
      <c r="V36" s="988">
        <f t="shared" si="14"/>
        <v>0</v>
      </c>
    </row>
    <row r="37" spans="1:22">
      <c r="A37" s="953">
        <v>31</v>
      </c>
      <c r="B37" s="954" t="s">
        <v>123</v>
      </c>
      <c r="C37" s="1083">
        <f>'2-1-13 SIS'!M37</f>
        <v>0</v>
      </c>
      <c r="D37" s="968">
        <f>'Table 3 Levels 1&amp;2'!AL38</f>
        <v>4348.9307899232972</v>
      </c>
      <c r="E37" s="1015">
        <f t="shared" si="2"/>
        <v>0</v>
      </c>
      <c r="F37" s="1015">
        <f>'Table 4 Level 3'!P36</f>
        <v>620.83000000000004</v>
      </c>
      <c r="G37" s="1015">
        <f t="shared" si="3"/>
        <v>0</v>
      </c>
      <c r="H37" s="991">
        <f t="shared" si="4"/>
        <v>0</v>
      </c>
      <c r="I37" s="1025">
        <f t="shared" si="5"/>
        <v>0</v>
      </c>
      <c r="J37" s="991">
        <f t="shared" si="6"/>
        <v>0</v>
      </c>
      <c r="K37" s="991">
        <v>0</v>
      </c>
      <c r="L37" s="991">
        <f t="shared" si="7"/>
        <v>0</v>
      </c>
      <c r="M37" s="991">
        <f t="shared" si="8"/>
        <v>0</v>
      </c>
      <c r="N37" s="981">
        <f>'Table 5C1A-Madison Prep'!N37</f>
        <v>4795</v>
      </c>
      <c r="O37" s="958">
        <f t="shared" si="9"/>
        <v>0</v>
      </c>
      <c r="P37" s="1028">
        <f t="shared" si="10"/>
        <v>0</v>
      </c>
      <c r="Q37" s="958">
        <f t="shared" si="11"/>
        <v>0</v>
      </c>
      <c r="R37" s="958">
        <v>0</v>
      </c>
      <c r="S37" s="958">
        <f t="shared" si="12"/>
        <v>0</v>
      </c>
      <c r="T37" s="958">
        <f t="shared" si="13"/>
        <v>0</v>
      </c>
      <c r="U37" s="959">
        <f t="shared" si="14"/>
        <v>0</v>
      </c>
      <c r="V37" s="959">
        <f t="shared" si="14"/>
        <v>0</v>
      </c>
    </row>
    <row r="38" spans="1:22">
      <c r="A38" s="960">
        <v>32</v>
      </c>
      <c r="B38" s="961" t="s">
        <v>124</v>
      </c>
      <c r="C38" s="1081">
        <f>'2-1-13 SIS'!M38</f>
        <v>0</v>
      </c>
      <c r="D38" s="966">
        <f>'Table 3 Levels 1&amp;2'!AL39</f>
        <v>5531.5157655456787</v>
      </c>
      <c r="E38" s="1013">
        <f t="shared" si="2"/>
        <v>0</v>
      </c>
      <c r="F38" s="1013">
        <f>'Table 4 Level 3'!P37</f>
        <v>559.77</v>
      </c>
      <c r="G38" s="1013">
        <f t="shared" si="3"/>
        <v>0</v>
      </c>
      <c r="H38" s="989">
        <f t="shared" si="4"/>
        <v>0</v>
      </c>
      <c r="I38" s="1023">
        <f t="shared" si="5"/>
        <v>0</v>
      </c>
      <c r="J38" s="989">
        <f t="shared" si="6"/>
        <v>0</v>
      </c>
      <c r="K38" s="989">
        <v>0</v>
      </c>
      <c r="L38" s="989">
        <f t="shared" si="7"/>
        <v>0</v>
      </c>
      <c r="M38" s="989">
        <f t="shared" si="8"/>
        <v>0</v>
      </c>
      <c r="N38" s="981">
        <f>'Table 5C1A-Madison Prep'!N38</f>
        <v>2109</v>
      </c>
      <c r="O38" s="983">
        <f t="shared" si="9"/>
        <v>0</v>
      </c>
      <c r="P38" s="1029">
        <f t="shared" si="10"/>
        <v>0</v>
      </c>
      <c r="Q38" s="983">
        <f t="shared" si="11"/>
        <v>0</v>
      </c>
      <c r="R38" s="983">
        <v>0</v>
      </c>
      <c r="S38" s="983">
        <f t="shared" si="12"/>
        <v>0</v>
      </c>
      <c r="T38" s="983">
        <f t="shared" si="13"/>
        <v>0</v>
      </c>
      <c r="U38" s="984">
        <f t="shared" si="14"/>
        <v>0</v>
      </c>
      <c r="V38" s="984">
        <f t="shared" si="14"/>
        <v>0</v>
      </c>
    </row>
    <row r="39" spans="1:22">
      <c r="A39" s="960">
        <v>33</v>
      </c>
      <c r="B39" s="961" t="s">
        <v>125</v>
      </c>
      <c r="C39" s="1081">
        <f>'2-1-13 SIS'!M39</f>
        <v>0</v>
      </c>
      <c r="D39" s="966">
        <f>'Table 3 Levels 1&amp;2'!AL40</f>
        <v>5329.5444226517857</v>
      </c>
      <c r="E39" s="1013">
        <f t="shared" si="2"/>
        <v>0</v>
      </c>
      <c r="F39" s="1013">
        <f>'Table 4 Level 3'!P38</f>
        <v>655.31000000000006</v>
      </c>
      <c r="G39" s="1013">
        <f t="shared" si="3"/>
        <v>0</v>
      </c>
      <c r="H39" s="989">
        <f t="shared" si="4"/>
        <v>0</v>
      </c>
      <c r="I39" s="1023">
        <f t="shared" si="5"/>
        <v>0</v>
      </c>
      <c r="J39" s="989">
        <f t="shared" si="6"/>
        <v>0</v>
      </c>
      <c r="K39" s="989">
        <v>0</v>
      </c>
      <c r="L39" s="989">
        <f t="shared" si="7"/>
        <v>0</v>
      </c>
      <c r="M39" s="989">
        <f t="shared" si="8"/>
        <v>0</v>
      </c>
      <c r="N39" s="981">
        <f>'Table 5C1A-Madison Prep'!N39</f>
        <v>2649</v>
      </c>
      <c r="O39" s="983">
        <f t="shared" si="9"/>
        <v>0</v>
      </c>
      <c r="P39" s="1029">
        <f t="shared" si="10"/>
        <v>0</v>
      </c>
      <c r="Q39" s="983">
        <f t="shared" si="11"/>
        <v>0</v>
      </c>
      <c r="R39" s="983">
        <v>0</v>
      </c>
      <c r="S39" s="983">
        <f t="shared" si="12"/>
        <v>0</v>
      </c>
      <c r="T39" s="983">
        <f t="shared" si="13"/>
        <v>0</v>
      </c>
      <c r="U39" s="984">
        <f t="shared" si="14"/>
        <v>0</v>
      </c>
      <c r="V39" s="984">
        <f t="shared" si="14"/>
        <v>0</v>
      </c>
    </row>
    <row r="40" spans="1:22">
      <c r="A40" s="960">
        <v>34</v>
      </c>
      <c r="B40" s="961" t="s">
        <v>126</v>
      </c>
      <c r="C40" s="1081">
        <f>'2-1-13 SIS'!M40</f>
        <v>0</v>
      </c>
      <c r="D40" s="966">
        <f>'Table 3 Levels 1&amp;2'!AL41</f>
        <v>6003.632932007491</v>
      </c>
      <c r="E40" s="1013">
        <f t="shared" si="2"/>
        <v>0</v>
      </c>
      <c r="F40" s="1013">
        <f>'Table 4 Level 3'!P39</f>
        <v>644.11000000000013</v>
      </c>
      <c r="G40" s="1013">
        <f t="shared" si="3"/>
        <v>0</v>
      </c>
      <c r="H40" s="989">
        <f t="shared" si="4"/>
        <v>0</v>
      </c>
      <c r="I40" s="1023">
        <f t="shared" si="5"/>
        <v>0</v>
      </c>
      <c r="J40" s="989">
        <f t="shared" si="6"/>
        <v>0</v>
      </c>
      <c r="K40" s="989">
        <v>0</v>
      </c>
      <c r="L40" s="989">
        <f t="shared" si="7"/>
        <v>0</v>
      </c>
      <c r="M40" s="989">
        <f t="shared" si="8"/>
        <v>0</v>
      </c>
      <c r="N40" s="981">
        <f>'Table 5C1A-Madison Prep'!N40</f>
        <v>2817</v>
      </c>
      <c r="O40" s="983">
        <f t="shared" si="9"/>
        <v>0</v>
      </c>
      <c r="P40" s="1029">
        <f t="shared" si="10"/>
        <v>0</v>
      </c>
      <c r="Q40" s="983">
        <f t="shared" si="11"/>
        <v>0</v>
      </c>
      <c r="R40" s="983">
        <v>0</v>
      </c>
      <c r="S40" s="983">
        <f t="shared" si="12"/>
        <v>0</v>
      </c>
      <c r="T40" s="983">
        <f t="shared" si="13"/>
        <v>0</v>
      </c>
      <c r="U40" s="984">
        <f t="shared" si="14"/>
        <v>0</v>
      </c>
      <c r="V40" s="984">
        <f t="shared" si="14"/>
        <v>0</v>
      </c>
    </row>
    <row r="41" spans="1:22">
      <c r="A41" s="963">
        <v>35</v>
      </c>
      <c r="B41" s="964" t="s">
        <v>127</v>
      </c>
      <c r="C41" s="1082">
        <f>'2-1-13 SIS'!M41</f>
        <v>0</v>
      </c>
      <c r="D41" s="967">
        <f>'Table 3 Levels 1&amp;2'!AL42</f>
        <v>4607.1606416222867</v>
      </c>
      <c r="E41" s="1014">
        <f t="shared" si="2"/>
        <v>0</v>
      </c>
      <c r="F41" s="1014">
        <f>'Table 4 Level 3'!P40</f>
        <v>537.96</v>
      </c>
      <c r="G41" s="1014">
        <f t="shared" si="3"/>
        <v>0</v>
      </c>
      <c r="H41" s="990">
        <f t="shared" si="4"/>
        <v>0</v>
      </c>
      <c r="I41" s="1024">
        <f t="shared" si="5"/>
        <v>0</v>
      </c>
      <c r="J41" s="990">
        <f t="shared" si="6"/>
        <v>0</v>
      </c>
      <c r="K41" s="990">
        <v>0</v>
      </c>
      <c r="L41" s="990">
        <f t="shared" si="7"/>
        <v>0</v>
      </c>
      <c r="M41" s="990">
        <f t="shared" si="8"/>
        <v>0</v>
      </c>
      <c r="N41" s="986">
        <f>'Table 5C1A-Madison Prep'!N41</f>
        <v>3298</v>
      </c>
      <c r="O41" s="987">
        <f t="shared" si="9"/>
        <v>0</v>
      </c>
      <c r="P41" s="1030">
        <f t="shared" si="10"/>
        <v>0</v>
      </c>
      <c r="Q41" s="987">
        <f t="shared" si="11"/>
        <v>0</v>
      </c>
      <c r="R41" s="987">
        <v>0</v>
      </c>
      <c r="S41" s="987">
        <f t="shared" si="12"/>
        <v>0</v>
      </c>
      <c r="T41" s="987">
        <f t="shared" si="13"/>
        <v>0</v>
      </c>
      <c r="U41" s="988">
        <f t="shared" si="14"/>
        <v>0</v>
      </c>
      <c r="V41" s="988">
        <f t="shared" si="14"/>
        <v>0</v>
      </c>
    </row>
    <row r="42" spans="1:22">
      <c r="A42" s="953">
        <v>36</v>
      </c>
      <c r="B42" s="954" t="s">
        <v>128</v>
      </c>
      <c r="C42" s="1083">
        <f>'2-1-13 SIS'!M42</f>
        <v>0</v>
      </c>
      <c r="D42" s="968">
        <f>'Table 3 Levels 1&amp;2'!AL43</f>
        <v>3520.4894337711748</v>
      </c>
      <c r="E42" s="1015">
        <f t="shared" si="2"/>
        <v>0</v>
      </c>
      <c r="F42" s="1015">
        <f>'Table 5B1_RSD_Orleans'!F78</f>
        <v>746.0335616438357</v>
      </c>
      <c r="G42" s="1015">
        <f t="shared" si="3"/>
        <v>0</v>
      </c>
      <c r="H42" s="991">
        <f t="shared" si="4"/>
        <v>0</v>
      </c>
      <c r="I42" s="1025">
        <f t="shared" si="5"/>
        <v>0</v>
      </c>
      <c r="J42" s="991">
        <f t="shared" si="6"/>
        <v>0</v>
      </c>
      <c r="K42" s="991">
        <v>0</v>
      </c>
      <c r="L42" s="991">
        <f t="shared" si="7"/>
        <v>0</v>
      </c>
      <c r="M42" s="991">
        <f t="shared" si="8"/>
        <v>0</v>
      </c>
      <c r="N42" s="981">
        <f>'Table 5C1A-Madison Prep'!N42</f>
        <v>5442</v>
      </c>
      <c r="O42" s="958">
        <f t="shared" si="9"/>
        <v>0</v>
      </c>
      <c r="P42" s="1028">
        <f t="shared" si="10"/>
        <v>0</v>
      </c>
      <c r="Q42" s="958">
        <f t="shared" si="11"/>
        <v>0</v>
      </c>
      <c r="R42" s="958">
        <v>0</v>
      </c>
      <c r="S42" s="958">
        <f t="shared" si="12"/>
        <v>0</v>
      </c>
      <c r="T42" s="958">
        <f t="shared" si="13"/>
        <v>0</v>
      </c>
      <c r="U42" s="959">
        <f t="shared" si="14"/>
        <v>0</v>
      </c>
      <c r="V42" s="959">
        <f t="shared" si="14"/>
        <v>0</v>
      </c>
    </row>
    <row r="43" spans="1:22">
      <c r="A43" s="960">
        <v>37</v>
      </c>
      <c r="B43" s="961" t="s">
        <v>129</v>
      </c>
      <c r="C43" s="1081">
        <f>'2-1-13 SIS'!M43</f>
        <v>0</v>
      </c>
      <c r="D43" s="966">
        <f>'Table 3 Levels 1&amp;2'!AL44</f>
        <v>5503.7595641818853</v>
      </c>
      <c r="E43" s="1013">
        <f t="shared" si="2"/>
        <v>0</v>
      </c>
      <c r="F43" s="1013">
        <f>'Table 4 Level 3'!P42</f>
        <v>653.61</v>
      </c>
      <c r="G43" s="1013">
        <f t="shared" si="3"/>
        <v>0</v>
      </c>
      <c r="H43" s="989">
        <f t="shared" si="4"/>
        <v>0</v>
      </c>
      <c r="I43" s="1023">
        <f t="shared" si="5"/>
        <v>0</v>
      </c>
      <c r="J43" s="989">
        <f t="shared" si="6"/>
        <v>0</v>
      </c>
      <c r="K43" s="989">
        <v>0</v>
      </c>
      <c r="L43" s="989">
        <f t="shared" si="7"/>
        <v>0</v>
      </c>
      <c r="M43" s="989">
        <f t="shared" si="8"/>
        <v>0</v>
      </c>
      <c r="N43" s="981">
        <f>'Table 5C1A-Madison Prep'!N43</f>
        <v>3227</v>
      </c>
      <c r="O43" s="983">
        <f t="shared" si="9"/>
        <v>0</v>
      </c>
      <c r="P43" s="1029">
        <f t="shared" si="10"/>
        <v>0</v>
      </c>
      <c r="Q43" s="983">
        <f t="shared" si="11"/>
        <v>0</v>
      </c>
      <c r="R43" s="983">
        <v>0</v>
      </c>
      <c r="S43" s="983">
        <f t="shared" si="12"/>
        <v>0</v>
      </c>
      <c r="T43" s="983">
        <f t="shared" si="13"/>
        <v>0</v>
      </c>
      <c r="U43" s="984">
        <f t="shared" si="14"/>
        <v>0</v>
      </c>
      <c r="V43" s="984">
        <f t="shared" si="14"/>
        <v>0</v>
      </c>
    </row>
    <row r="44" spans="1:22">
      <c r="A44" s="960">
        <v>38</v>
      </c>
      <c r="B44" s="961" t="s">
        <v>130</v>
      </c>
      <c r="C44" s="1081">
        <f>'2-1-13 SIS'!M44</f>
        <v>0</v>
      </c>
      <c r="D44" s="966">
        <f>'Table 3 Levels 1&amp;2'!AL45</f>
        <v>2192.7545275590551</v>
      </c>
      <c r="E44" s="1013">
        <f t="shared" si="2"/>
        <v>0</v>
      </c>
      <c r="F44" s="1013">
        <f>'Table 4 Level 3'!P43</f>
        <v>829.92000000000007</v>
      </c>
      <c r="G44" s="1013">
        <f t="shared" si="3"/>
        <v>0</v>
      </c>
      <c r="H44" s="989">
        <f t="shared" si="4"/>
        <v>0</v>
      </c>
      <c r="I44" s="1023">
        <f t="shared" si="5"/>
        <v>0</v>
      </c>
      <c r="J44" s="989">
        <f t="shared" si="6"/>
        <v>0</v>
      </c>
      <c r="K44" s="989">
        <v>0</v>
      </c>
      <c r="L44" s="989">
        <f t="shared" si="7"/>
        <v>0</v>
      </c>
      <c r="M44" s="989">
        <f t="shared" si="8"/>
        <v>0</v>
      </c>
      <c r="N44" s="981">
        <f>'Table 5C1A-Madison Prep'!N44</f>
        <v>10867</v>
      </c>
      <c r="O44" s="983">
        <f t="shared" si="9"/>
        <v>0</v>
      </c>
      <c r="P44" s="1029">
        <f t="shared" si="10"/>
        <v>0</v>
      </c>
      <c r="Q44" s="983">
        <f t="shared" si="11"/>
        <v>0</v>
      </c>
      <c r="R44" s="983">
        <v>0</v>
      </c>
      <c r="S44" s="983">
        <f t="shared" si="12"/>
        <v>0</v>
      </c>
      <c r="T44" s="983">
        <f t="shared" si="13"/>
        <v>0</v>
      </c>
      <c r="U44" s="984">
        <f t="shared" si="14"/>
        <v>0</v>
      </c>
      <c r="V44" s="984">
        <f t="shared" si="14"/>
        <v>0</v>
      </c>
    </row>
    <row r="45" spans="1:22">
      <c r="A45" s="960">
        <v>39</v>
      </c>
      <c r="B45" s="961" t="s">
        <v>131</v>
      </c>
      <c r="C45" s="1081">
        <f>'2-1-13 SIS'!M45</f>
        <v>0</v>
      </c>
      <c r="D45" s="966">
        <f>'Table 3 Levels 1&amp;2'!AL46</f>
        <v>3639.9942778062696</v>
      </c>
      <c r="E45" s="1013">
        <f t="shared" si="2"/>
        <v>0</v>
      </c>
      <c r="F45" s="1013">
        <f>'Table 5B2_RSD_LA'!F21</f>
        <v>779.65573042776441</v>
      </c>
      <c r="G45" s="1013">
        <f t="shared" si="3"/>
        <v>0</v>
      </c>
      <c r="H45" s="989">
        <f t="shared" si="4"/>
        <v>0</v>
      </c>
      <c r="I45" s="1023">
        <f t="shared" si="5"/>
        <v>0</v>
      </c>
      <c r="J45" s="989">
        <f t="shared" si="6"/>
        <v>0</v>
      </c>
      <c r="K45" s="989">
        <v>0</v>
      </c>
      <c r="L45" s="989">
        <f t="shared" si="7"/>
        <v>0</v>
      </c>
      <c r="M45" s="989">
        <f t="shared" si="8"/>
        <v>0</v>
      </c>
      <c r="N45" s="981">
        <f>'Table 5C1A-Madison Prep'!N45</f>
        <v>4324</v>
      </c>
      <c r="O45" s="983">
        <f t="shared" si="9"/>
        <v>0</v>
      </c>
      <c r="P45" s="1029">
        <f t="shared" si="10"/>
        <v>0</v>
      </c>
      <c r="Q45" s="983">
        <f t="shared" si="11"/>
        <v>0</v>
      </c>
      <c r="R45" s="983">
        <v>0</v>
      </c>
      <c r="S45" s="983">
        <f t="shared" si="12"/>
        <v>0</v>
      </c>
      <c r="T45" s="983">
        <f t="shared" si="13"/>
        <v>0</v>
      </c>
      <c r="U45" s="984">
        <f t="shared" si="14"/>
        <v>0</v>
      </c>
      <c r="V45" s="984">
        <f t="shared" si="14"/>
        <v>0</v>
      </c>
    </row>
    <row r="46" spans="1:22">
      <c r="A46" s="963">
        <v>40</v>
      </c>
      <c r="B46" s="964" t="s">
        <v>132</v>
      </c>
      <c r="C46" s="1082">
        <f>'2-1-13 SIS'!M46</f>
        <v>0</v>
      </c>
      <c r="D46" s="967">
        <f>'Table 3 Levels 1&amp;2'!AL47</f>
        <v>4928.4974462701202</v>
      </c>
      <c r="E46" s="1014">
        <f t="shared" si="2"/>
        <v>0</v>
      </c>
      <c r="F46" s="1014">
        <f>'Table 4 Level 3'!P45</f>
        <v>700.2700000000001</v>
      </c>
      <c r="G46" s="1014">
        <f t="shared" si="3"/>
        <v>0</v>
      </c>
      <c r="H46" s="990">
        <f t="shared" si="4"/>
        <v>0</v>
      </c>
      <c r="I46" s="1024">
        <f t="shared" si="5"/>
        <v>0</v>
      </c>
      <c r="J46" s="990">
        <f t="shared" si="6"/>
        <v>0</v>
      </c>
      <c r="K46" s="990">
        <v>0</v>
      </c>
      <c r="L46" s="990">
        <f t="shared" si="7"/>
        <v>0</v>
      </c>
      <c r="M46" s="990">
        <f t="shared" si="8"/>
        <v>0</v>
      </c>
      <c r="N46" s="986">
        <f>'Table 5C1A-Madison Prep'!N46</f>
        <v>3007</v>
      </c>
      <c r="O46" s="987">
        <f t="shared" si="9"/>
        <v>0</v>
      </c>
      <c r="P46" s="1030">
        <f t="shared" si="10"/>
        <v>0</v>
      </c>
      <c r="Q46" s="987">
        <f t="shared" si="11"/>
        <v>0</v>
      </c>
      <c r="R46" s="987">
        <v>0</v>
      </c>
      <c r="S46" s="987">
        <f t="shared" si="12"/>
        <v>0</v>
      </c>
      <c r="T46" s="987">
        <f t="shared" si="13"/>
        <v>0</v>
      </c>
      <c r="U46" s="988">
        <f t="shared" si="14"/>
        <v>0</v>
      </c>
      <c r="V46" s="988">
        <f t="shared" si="14"/>
        <v>0</v>
      </c>
    </row>
    <row r="47" spans="1:22">
      <c r="A47" s="953">
        <v>41</v>
      </c>
      <c r="B47" s="954" t="s">
        <v>133</v>
      </c>
      <c r="C47" s="1083">
        <f>'2-1-13 SIS'!M47</f>
        <v>0</v>
      </c>
      <c r="D47" s="968">
        <f>'Table 3 Levels 1&amp;2'!AL48</f>
        <v>1615.6013465627216</v>
      </c>
      <c r="E47" s="1015">
        <f t="shared" si="2"/>
        <v>0</v>
      </c>
      <c r="F47" s="1015">
        <f>'Table 4 Level 3'!P46</f>
        <v>886.22</v>
      </c>
      <c r="G47" s="1015">
        <f t="shared" si="3"/>
        <v>0</v>
      </c>
      <c r="H47" s="991">
        <f t="shared" si="4"/>
        <v>0</v>
      </c>
      <c r="I47" s="1025">
        <f t="shared" si="5"/>
        <v>0</v>
      </c>
      <c r="J47" s="991">
        <f t="shared" si="6"/>
        <v>0</v>
      </c>
      <c r="K47" s="991">
        <v>0</v>
      </c>
      <c r="L47" s="991">
        <f t="shared" si="7"/>
        <v>0</v>
      </c>
      <c r="M47" s="991">
        <f t="shared" si="8"/>
        <v>0</v>
      </c>
      <c r="N47" s="981">
        <f>'Table 5C1A-Madison Prep'!N47</f>
        <v>9087</v>
      </c>
      <c r="O47" s="958">
        <f t="shared" si="9"/>
        <v>0</v>
      </c>
      <c r="P47" s="1028">
        <f t="shared" si="10"/>
        <v>0</v>
      </c>
      <c r="Q47" s="958">
        <f t="shared" si="11"/>
        <v>0</v>
      </c>
      <c r="R47" s="958">
        <v>0</v>
      </c>
      <c r="S47" s="958">
        <f t="shared" si="12"/>
        <v>0</v>
      </c>
      <c r="T47" s="958">
        <f t="shared" si="13"/>
        <v>0</v>
      </c>
      <c r="U47" s="959">
        <f t="shared" si="14"/>
        <v>0</v>
      </c>
      <c r="V47" s="959">
        <f t="shared" si="14"/>
        <v>0</v>
      </c>
    </row>
    <row r="48" spans="1:22">
      <c r="A48" s="960">
        <v>42</v>
      </c>
      <c r="B48" s="961" t="s">
        <v>134</v>
      </c>
      <c r="C48" s="1081">
        <f>'2-1-13 SIS'!M48</f>
        <v>0</v>
      </c>
      <c r="D48" s="966">
        <f>'Table 3 Levels 1&amp;2'!AL49</f>
        <v>5087.4730460987803</v>
      </c>
      <c r="E48" s="1013">
        <f t="shared" si="2"/>
        <v>0</v>
      </c>
      <c r="F48" s="1013">
        <f>'Table 4 Level 3'!P47</f>
        <v>534.28</v>
      </c>
      <c r="G48" s="1013">
        <f t="shared" si="3"/>
        <v>0</v>
      </c>
      <c r="H48" s="989">
        <f t="shared" si="4"/>
        <v>0</v>
      </c>
      <c r="I48" s="1023">
        <f t="shared" si="5"/>
        <v>0</v>
      </c>
      <c r="J48" s="989">
        <f t="shared" si="6"/>
        <v>0</v>
      </c>
      <c r="K48" s="989">
        <v>0</v>
      </c>
      <c r="L48" s="989">
        <f t="shared" si="7"/>
        <v>0</v>
      </c>
      <c r="M48" s="989">
        <f t="shared" si="8"/>
        <v>0</v>
      </c>
      <c r="N48" s="981">
        <f>'Table 5C1A-Madison Prep'!N48</f>
        <v>2867</v>
      </c>
      <c r="O48" s="983">
        <f t="shared" si="9"/>
        <v>0</v>
      </c>
      <c r="P48" s="1029">
        <f t="shared" si="10"/>
        <v>0</v>
      </c>
      <c r="Q48" s="983">
        <f t="shared" si="11"/>
        <v>0</v>
      </c>
      <c r="R48" s="983">
        <v>0</v>
      </c>
      <c r="S48" s="983">
        <f t="shared" si="12"/>
        <v>0</v>
      </c>
      <c r="T48" s="983">
        <f t="shared" si="13"/>
        <v>0</v>
      </c>
      <c r="U48" s="984">
        <f t="shared" si="14"/>
        <v>0</v>
      </c>
      <c r="V48" s="984">
        <f t="shared" si="14"/>
        <v>0</v>
      </c>
    </row>
    <row r="49" spans="1:22">
      <c r="A49" s="960">
        <v>43</v>
      </c>
      <c r="B49" s="961" t="s">
        <v>135</v>
      </c>
      <c r="C49" s="1081">
        <f>'2-1-13 SIS'!M49</f>
        <v>0</v>
      </c>
      <c r="D49" s="966">
        <f>'Table 3 Levels 1&amp;2'!AL50</f>
        <v>4717.8414352725031</v>
      </c>
      <c r="E49" s="1013">
        <f t="shared" si="2"/>
        <v>0</v>
      </c>
      <c r="F49" s="1013">
        <f>'Table 4 Level 3'!P48</f>
        <v>574.6099999999999</v>
      </c>
      <c r="G49" s="1013">
        <f t="shared" si="3"/>
        <v>0</v>
      </c>
      <c r="H49" s="989">
        <f t="shared" si="4"/>
        <v>0</v>
      </c>
      <c r="I49" s="1023">
        <f t="shared" si="5"/>
        <v>0</v>
      </c>
      <c r="J49" s="989">
        <f t="shared" si="6"/>
        <v>0</v>
      </c>
      <c r="K49" s="989">
        <v>0</v>
      </c>
      <c r="L49" s="989">
        <f t="shared" si="7"/>
        <v>0</v>
      </c>
      <c r="M49" s="989">
        <f t="shared" si="8"/>
        <v>0</v>
      </c>
      <c r="N49" s="981">
        <f>'Table 5C1A-Madison Prep'!N49</f>
        <v>3587</v>
      </c>
      <c r="O49" s="983">
        <f t="shared" si="9"/>
        <v>0</v>
      </c>
      <c r="P49" s="1029">
        <f t="shared" si="10"/>
        <v>0</v>
      </c>
      <c r="Q49" s="983">
        <f t="shared" si="11"/>
        <v>0</v>
      </c>
      <c r="R49" s="983">
        <v>0</v>
      </c>
      <c r="S49" s="983">
        <f t="shared" si="12"/>
        <v>0</v>
      </c>
      <c r="T49" s="983">
        <f t="shared" si="13"/>
        <v>0</v>
      </c>
      <c r="U49" s="984">
        <f t="shared" si="14"/>
        <v>0</v>
      </c>
      <c r="V49" s="984">
        <f t="shared" si="14"/>
        <v>0</v>
      </c>
    </row>
    <row r="50" spans="1:22">
      <c r="A50" s="960">
        <v>44</v>
      </c>
      <c r="B50" s="961" t="s">
        <v>136</v>
      </c>
      <c r="C50" s="1081">
        <f>'2-1-13 SIS'!M50</f>
        <v>0</v>
      </c>
      <c r="D50" s="966">
        <f>'Table 3 Levels 1&amp;2'!AL51</f>
        <v>4696.6221228259064</v>
      </c>
      <c r="E50" s="1013">
        <f t="shared" si="2"/>
        <v>0</v>
      </c>
      <c r="F50" s="1013">
        <f>'Table 4 Level 3'!P49</f>
        <v>663.16000000000008</v>
      </c>
      <c r="G50" s="1013">
        <f t="shared" si="3"/>
        <v>0</v>
      </c>
      <c r="H50" s="989">
        <f t="shared" si="4"/>
        <v>0</v>
      </c>
      <c r="I50" s="1023">
        <f t="shared" si="5"/>
        <v>0</v>
      </c>
      <c r="J50" s="989">
        <f t="shared" si="6"/>
        <v>0</v>
      </c>
      <c r="K50" s="989">
        <v>0</v>
      </c>
      <c r="L50" s="989">
        <f t="shared" si="7"/>
        <v>0</v>
      </c>
      <c r="M50" s="989">
        <f t="shared" si="8"/>
        <v>0</v>
      </c>
      <c r="N50" s="981">
        <f>'Table 5C1A-Madison Prep'!N50</f>
        <v>4561</v>
      </c>
      <c r="O50" s="983">
        <f t="shared" si="9"/>
        <v>0</v>
      </c>
      <c r="P50" s="1029">
        <f t="shared" si="10"/>
        <v>0</v>
      </c>
      <c r="Q50" s="983">
        <f t="shared" si="11"/>
        <v>0</v>
      </c>
      <c r="R50" s="983">
        <v>0</v>
      </c>
      <c r="S50" s="983">
        <f t="shared" si="12"/>
        <v>0</v>
      </c>
      <c r="T50" s="983">
        <f t="shared" si="13"/>
        <v>0</v>
      </c>
      <c r="U50" s="984">
        <f t="shared" si="14"/>
        <v>0</v>
      </c>
      <c r="V50" s="984">
        <f t="shared" si="14"/>
        <v>0</v>
      </c>
    </row>
    <row r="51" spans="1:22">
      <c r="A51" s="963">
        <v>45</v>
      </c>
      <c r="B51" s="964" t="s">
        <v>137</v>
      </c>
      <c r="C51" s="1082">
        <f>'2-1-13 SIS'!M51</f>
        <v>0</v>
      </c>
      <c r="D51" s="967">
        <f>'Table 3 Levels 1&amp;2'!AL52</f>
        <v>2192.4914538932262</v>
      </c>
      <c r="E51" s="1014">
        <f t="shared" si="2"/>
        <v>0</v>
      </c>
      <c r="F51" s="1014">
        <f>'Table 4 Level 3'!P50</f>
        <v>753.96000000000015</v>
      </c>
      <c r="G51" s="1014">
        <f t="shared" si="3"/>
        <v>0</v>
      </c>
      <c r="H51" s="990">
        <f t="shared" si="4"/>
        <v>0</v>
      </c>
      <c r="I51" s="1024">
        <f t="shared" si="5"/>
        <v>0</v>
      </c>
      <c r="J51" s="990">
        <f t="shared" si="6"/>
        <v>0</v>
      </c>
      <c r="K51" s="990">
        <v>0</v>
      </c>
      <c r="L51" s="990">
        <f t="shared" si="7"/>
        <v>0</v>
      </c>
      <c r="M51" s="990">
        <f t="shared" si="8"/>
        <v>0</v>
      </c>
      <c r="N51" s="986">
        <f>'Table 5C1A-Madison Prep'!N51</f>
        <v>11287</v>
      </c>
      <c r="O51" s="987">
        <f t="shared" si="9"/>
        <v>0</v>
      </c>
      <c r="P51" s="1030">
        <f t="shared" si="10"/>
        <v>0</v>
      </c>
      <c r="Q51" s="987">
        <f t="shared" si="11"/>
        <v>0</v>
      </c>
      <c r="R51" s="987">
        <v>0</v>
      </c>
      <c r="S51" s="987">
        <f t="shared" si="12"/>
        <v>0</v>
      </c>
      <c r="T51" s="987">
        <f t="shared" si="13"/>
        <v>0</v>
      </c>
      <c r="U51" s="988">
        <f t="shared" si="14"/>
        <v>0</v>
      </c>
      <c r="V51" s="988">
        <f t="shared" si="14"/>
        <v>0</v>
      </c>
    </row>
    <row r="52" spans="1:22">
      <c r="A52" s="953">
        <v>46</v>
      </c>
      <c r="B52" s="954" t="s">
        <v>138</v>
      </c>
      <c r="C52" s="1083">
        <f>'2-1-13 SIS'!M52</f>
        <v>0</v>
      </c>
      <c r="D52" s="968">
        <f>'Table 3 Levels 1&amp;2'!AL53</f>
        <v>5644.6599115241634</v>
      </c>
      <c r="E52" s="1015">
        <f t="shared" si="2"/>
        <v>0</v>
      </c>
      <c r="F52" s="1015">
        <f>'Table 4 Level 3'!P51</f>
        <v>728.06</v>
      </c>
      <c r="G52" s="1015">
        <f t="shared" si="3"/>
        <v>0</v>
      </c>
      <c r="H52" s="991">
        <f t="shared" si="4"/>
        <v>0</v>
      </c>
      <c r="I52" s="1025">
        <f t="shared" si="5"/>
        <v>0</v>
      </c>
      <c r="J52" s="991">
        <f t="shared" si="6"/>
        <v>0</v>
      </c>
      <c r="K52" s="991">
        <v>0</v>
      </c>
      <c r="L52" s="991">
        <f t="shared" si="7"/>
        <v>0</v>
      </c>
      <c r="M52" s="991">
        <f t="shared" si="8"/>
        <v>0</v>
      </c>
      <c r="N52" s="981">
        <f>'Table 5C1A-Madison Prep'!N52</f>
        <v>2150</v>
      </c>
      <c r="O52" s="958">
        <f t="shared" si="9"/>
        <v>0</v>
      </c>
      <c r="P52" s="1028">
        <f t="shared" si="10"/>
        <v>0</v>
      </c>
      <c r="Q52" s="958">
        <f t="shared" si="11"/>
        <v>0</v>
      </c>
      <c r="R52" s="958">
        <v>0</v>
      </c>
      <c r="S52" s="958">
        <f t="shared" si="12"/>
        <v>0</v>
      </c>
      <c r="T52" s="958">
        <f t="shared" si="13"/>
        <v>0</v>
      </c>
      <c r="U52" s="959">
        <f t="shared" si="14"/>
        <v>0</v>
      </c>
      <c r="V52" s="959">
        <f t="shared" si="14"/>
        <v>0</v>
      </c>
    </row>
    <row r="53" spans="1:22">
      <c r="A53" s="960">
        <v>47</v>
      </c>
      <c r="B53" s="961" t="s">
        <v>139</v>
      </c>
      <c r="C53" s="1081">
        <f>'2-1-13 SIS'!M53</f>
        <v>0</v>
      </c>
      <c r="D53" s="966">
        <f>'Table 3 Levels 1&amp;2'!AL54</f>
        <v>2731.2444076222037</v>
      </c>
      <c r="E53" s="1013">
        <f t="shared" si="2"/>
        <v>0</v>
      </c>
      <c r="F53" s="1013">
        <f>'Table 4 Level 3'!P52</f>
        <v>910.76</v>
      </c>
      <c r="G53" s="1013">
        <f t="shared" si="3"/>
        <v>0</v>
      </c>
      <c r="H53" s="989">
        <f t="shared" si="4"/>
        <v>0</v>
      </c>
      <c r="I53" s="1023">
        <f t="shared" si="5"/>
        <v>0</v>
      </c>
      <c r="J53" s="989">
        <f t="shared" si="6"/>
        <v>0</v>
      </c>
      <c r="K53" s="989">
        <v>0</v>
      </c>
      <c r="L53" s="989">
        <f t="shared" si="7"/>
        <v>0</v>
      </c>
      <c r="M53" s="989">
        <f t="shared" si="8"/>
        <v>0</v>
      </c>
      <c r="N53" s="981">
        <f>'Table 5C1A-Madison Prep'!N53</f>
        <v>13280</v>
      </c>
      <c r="O53" s="983">
        <f t="shared" si="9"/>
        <v>0</v>
      </c>
      <c r="P53" s="1029">
        <f t="shared" si="10"/>
        <v>0</v>
      </c>
      <c r="Q53" s="983">
        <f t="shared" si="11"/>
        <v>0</v>
      </c>
      <c r="R53" s="983">
        <v>0</v>
      </c>
      <c r="S53" s="983">
        <f t="shared" si="12"/>
        <v>0</v>
      </c>
      <c r="T53" s="983">
        <f t="shared" si="13"/>
        <v>0</v>
      </c>
      <c r="U53" s="984">
        <f t="shared" si="14"/>
        <v>0</v>
      </c>
      <c r="V53" s="984">
        <f t="shared" si="14"/>
        <v>0</v>
      </c>
    </row>
    <row r="54" spans="1:22">
      <c r="A54" s="960">
        <v>48</v>
      </c>
      <c r="B54" s="961" t="s">
        <v>197</v>
      </c>
      <c r="C54" s="1081">
        <f>'2-1-13 SIS'!M54</f>
        <v>0</v>
      </c>
      <c r="D54" s="966">
        <f>'Table 3 Levels 1&amp;2'!AL55</f>
        <v>4272.723323083942</v>
      </c>
      <c r="E54" s="1013">
        <f t="shared" si="2"/>
        <v>0</v>
      </c>
      <c r="F54" s="1013">
        <f>'Table 4 Level 3'!P53</f>
        <v>871.07</v>
      </c>
      <c r="G54" s="1013">
        <f t="shared" si="3"/>
        <v>0</v>
      </c>
      <c r="H54" s="989">
        <f t="shared" si="4"/>
        <v>0</v>
      </c>
      <c r="I54" s="1023">
        <f t="shared" si="5"/>
        <v>0</v>
      </c>
      <c r="J54" s="989">
        <f t="shared" si="6"/>
        <v>0</v>
      </c>
      <c r="K54" s="989">
        <v>0</v>
      </c>
      <c r="L54" s="989">
        <f t="shared" si="7"/>
        <v>0</v>
      </c>
      <c r="M54" s="989">
        <f t="shared" si="8"/>
        <v>0</v>
      </c>
      <c r="N54" s="981">
        <f>'Table 5C1A-Madison Prep'!N54</f>
        <v>6453</v>
      </c>
      <c r="O54" s="983">
        <f t="shared" si="9"/>
        <v>0</v>
      </c>
      <c r="P54" s="1029">
        <f t="shared" si="10"/>
        <v>0</v>
      </c>
      <c r="Q54" s="983">
        <f t="shared" si="11"/>
        <v>0</v>
      </c>
      <c r="R54" s="983">
        <v>0</v>
      </c>
      <c r="S54" s="983">
        <f t="shared" si="12"/>
        <v>0</v>
      </c>
      <c r="T54" s="983">
        <f t="shared" si="13"/>
        <v>0</v>
      </c>
      <c r="U54" s="984">
        <f t="shared" si="14"/>
        <v>0</v>
      </c>
      <c r="V54" s="984">
        <f t="shared" si="14"/>
        <v>0</v>
      </c>
    </row>
    <row r="55" spans="1:22">
      <c r="A55" s="960">
        <v>49</v>
      </c>
      <c r="B55" s="961" t="s">
        <v>140</v>
      </c>
      <c r="C55" s="1081">
        <f>'2-1-13 SIS'!M55</f>
        <v>0</v>
      </c>
      <c r="D55" s="966">
        <f>'Table 3 Levels 1&amp;2'!AL56</f>
        <v>4836.7092570332552</v>
      </c>
      <c r="E55" s="1013">
        <f t="shared" si="2"/>
        <v>0</v>
      </c>
      <c r="F55" s="1013">
        <f>'Table 4 Level 3'!P54</f>
        <v>574.43999999999994</v>
      </c>
      <c r="G55" s="1013">
        <f t="shared" si="3"/>
        <v>0</v>
      </c>
      <c r="H55" s="989">
        <f t="shared" si="4"/>
        <v>0</v>
      </c>
      <c r="I55" s="1023">
        <f t="shared" si="5"/>
        <v>0</v>
      </c>
      <c r="J55" s="989">
        <f t="shared" si="6"/>
        <v>0</v>
      </c>
      <c r="K55" s="989">
        <v>0</v>
      </c>
      <c r="L55" s="989">
        <f t="shared" si="7"/>
        <v>0</v>
      </c>
      <c r="M55" s="989">
        <f t="shared" si="8"/>
        <v>0</v>
      </c>
      <c r="N55" s="981">
        <f>'Table 5C1A-Madison Prep'!N55</f>
        <v>2287</v>
      </c>
      <c r="O55" s="983">
        <f t="shared" si="9"/>
        <v>0</v>
      </c>
      <c r="P55" s="1029">
        <f t="shared" si="10"/>
        <v>0</v>
      </c>
      <c r="Q55" s="983">
        <f t="shared" si="11"/>
        <v>0</v>
      </c>
      <c r="R55" s="983">
        <v>0</v>
      </c>
      <c r="S55" s="983">
        <f t="shared" si="12"/>
        <v>0</v>
      </c>
      <c r="T55" s="983">
        <f t="shared" si="13"/>
        <v>0</v>
      </c>
      <c r="U55" s="984">
        <f t="shared" si="14"/>
        <v>0</v>
      </c>
      <c r="V55" s="984">
        <f t="shared" si="14"/>
        <v>0</v>
      </c>
    </row>
    <row r="56" spans="1:22">
      <c r="A56" s="963">
        <v>50</v>
      </c>
      <c r="B56" s="964" t="s">
        <v>141</v>
      </c>
      <c r="C56" s="1082">
        <f>'2-1-13 SIS'!M56</f>
        <v>0</v>
      </c>
      <c r="D56" s="967">
        <f>'Table 3 Levels 1&amp;2'!AL57</f>
        <v>5032.6862895017111</v>
      </c>
      <c r="E56" s="1014">
        <f t="shared" si="2"/>
        <v>0</v>
      </c>
      <c r="F56" s="1014">
        <f>'Table 4 Level 3'!P55</f>
        <v>634.46</v>
      </c>
      <c r="G56" s="1014">
        <f t="shared" si="3"/>
        <v>0</v>
      </c>
      <c r="H56" s="990">
        <f t="shared" si="4"/>
        <v>0</v>
      </c>
      <c r="I56" s="1024">
        <f t="shared" si="5"/>
        <v>0</v>
      </c>
      <c r="J56" s="990">
        <f t="shared" si="6"/>
        <v>0</v>
      </c>
      <c r="K56" s="990">
        <v>0</v>
      </c>
      <c r="L56" s="990">
        <f t="shared" si="7"/>
        <v>0</v>
      </c>
      <c r="M56" s="990">
        <f t="shared" si="8"/>
        <v>0</v>
      </c>
      <c r="N56" s="986">
        <f>'Table 5C1A-Madison Prep'!N56</f>
        <v>2801</v>
      </c>
      <c r="O56" s="987">
        <f t="shared" si="9"/>
        <v>0</v>
      </c>
      <c r="P56" s="1030">
        <f t="shared" si="10"/>
        <v>0</v>
      </c>
      <c r="Q56" s="987">
        <f t="shared" si="11"/>
        <v>0</v>
      </c>
      <c r="R56" s="987">
        <v>0</v>
      </c>
      <c r="S56" s="987">
        <f t="shared" si="12"/>
        <v>0</v>
      </c>
      <c r="T56" s="987">
        <f t="shared" si="13"/>
        <v>0</v>
      </c>
      <c r="U56" s="988">
        <f t="shared" si="14"/>
        <v>0</v>
      </c>
      <c r="V56" s="988">
        <f t="shared" si="14"/>
        <v>0</v>
      </c>
    </row>
    <row r="57" spans="1:22">
      <c r="A57" s="953">
        <v>51</v>
      </c>
      <c r="B57" s="954" t="s">
        <v>142</v>
      </c>
      <c r="C57" s="1083">
        <f>'2-1-13 SIS'!M57</f>
        <v>0</v>
      </c>
      <c r="D57" s="968">
        <f>'Table 3 Levels 1&amp;2'!AL58</f>
        <v>4246.0339872793602</v>
      </c>
      <c r="E57" s="1015">
        <f t="shared" si="2"/>
        <v>0</v>
      </c>
      <c r="F57" s="1015">
        <f>'Table 4 Level 3'!P56</f>
        <v>706.66</v>
      </c>
      <c r="G57" s="1015">
        <f t="shared" si="3"/>
        <v>0</v>
      </c>
      <c r="H57" s="991">
        <f t="shared" si="4"/>
        <v>0</v>
      </c>
      <c r="I57" s="1025">
        <f t="shared" si="5"/>
        <v>0</v>
      </c>
      <c r="J57" s="991">
        <f t="shared" si="6"/>
        <v>0</v>
      </c>
      <c r="K57" s="991">
        <v>0</v>
      </c>
      <c r="L57" s="991">
        <f t="shared" si="7"/>
        <v>0</v>
      </c>
      <c r="M57" s="991">
        <f t="shared" si="8"/>
        <v>0</v>
      </c>
      <c r="N57" s="981">
        <f>'Table 5C1A-Madison Prep'!N57</f>
        <v>4215</v>
      </c>
      <c r="O57" s="958">
        <f t="shared" si="9"/>
        <v>0</v>
      </c>
      <c r="P57" s="1028">
        <f t="shared" si="10"/>
        <v>0</v>
      </c>
      <c r="Q57" s="958">
        <f t="shared" si="11"/>
        <v>0</v>
      </c>
      <c r="R57" s="958">
        <v>0</v>
      </c>
      <c r="S57" s="958">
        <f t="shared" si="12"/>
        <v>0</v>
      </c>
      <c r="T57" s="958">
        <f t="shared" si="13"/>
        <v>0</v>
      </c>
      <c r="U57" s="959">
        <f t="shared" si="14"/>
        <v>0</v>
      </c>
      <c r="V57" s="959">
        <f t="shared" si="14"/>
        <v>0</v>
      </c>
    </row>
    <row r="58" spans="1:22">
      <c r="A58" s="960">
        <v>52</v>
      </c>
      <c r="B58" s="961" t="s">
        <v>143</v>
      </c>
      <c r="C58" s="1081">
        <f>'2-1-13 SIS'!M58</f>
        <v>0</v>
      </c>
      <c r="D58" s="966">
        <f>'Table 3 Levels 1&amp;2'!AL59</f>
        <v>5013.4438050113249</v>
      </c>
      <c r="E58" s="1013">
        <f t="shared" si="2"/>
        <v>0</v>
      </c>
      <c r="F58" s="1013">
        <f>'Table 4 Level 3'!P57</f>
        <v>658.37</v>
      </c>
      <c r="G58" s="1013">
        <f t="shared" si="3"/>
        <v>0</v>
      </c>
      <c r="H58" s="989">
        <f t="shared" si="4"/>
        <v>0</v>
      </c>
      <c r="I58" s="1023">
        <f t="shared" si="5"/>
        <v>0</v>
      </c>
      <c r="J58" s="989">
        <f t="shared" si="6"/>
        <v>0</v>
      </c>
      <c r="K58" s="989">
        <v>0</v>
      </c>
      <c r="L58" s="989">
        <f t="shared" si="7"/>
        <v>0</v>
      </c>
      <c r="M58" s="989">
        <f t="shared" si="8"/>
        <v>0</v>
      </c>
      <c r="N58" s="981">
        <f>'Table 5C1A-Madison Prep'!N58</f>
        <v>4889</v>
      </c>
      <c r="O58" s="983">
        <f t="shared" si="9"/>
        <v>0</v>
      </c>
      <c r="P58" s="1029">
        <f t="shared" si="10"/>
        <v>0</v>
      </c>
      <c r="Q58" s="983">
        <f t="shared" si="11"/>
        <v>0</v>
      </c>
      <c r="R58" s="983">
        <v>0</v>
      </c>
      <c r="S58" s="983">
        <f t="shared" si="12"/>
        <v>0</v>
      </c>
      <c r="T58" s="983">
        <f t="shared" si="13"/>
        <v>0</v>
      </c>
      <c r="U58" s="984">
        <f t="shared" si="14"/>
        <v>0</v>
      </c>
      <c r="V58" s="984">
        <f t="shared" si="14"/>
        <v>0</v>
      </c>
    </row>
    <row r="59" spans="1:22">
      <c r="A59" s="960">
        <v>53</v>
      </c>
      <c r="B59" s="961" t="s">
        <v>144</v>
      </c>
      <c r="C59" s="1081">
        <f>'2-1-13 SIS'!M59</f>
        <v>0</v>
      </c>
      <c r="D59" s="966">
        <f>'Table 3 Levels 1&amp;2'!AL60</f>
        <v>4775.5877635581091</v>
      </c>
      <c r="E59" s="1013">
        <f t="shared" si="2"/>
        <v>0</v>
      </c>
      <c r="F59" s="1013">
        <f>'Table 4 Level 3'!P58</f>
        <v>689.74</v>
      </c>
      <c r="G59" s="1013">
        <f t="shared" si="3"/>
        <v>0</v>
      </c>
      <c r="H59" s="989">
        <f t="shared" si="4"/>
        <v>0</v>
      </c>
      <c r="I59" s="1023">
        <f t="shared" si="5"/>
        <v>0</v>
      </c>
      <c r="J59" s="989">
        <f t="shared" si="6"/>
        <v>0</v>
      </c>
      <c r="K59" s="989">
        <v>0</v>
      </c>
      <c r="L59" s="989">
        <f t="shared" si="7"/>
        <v>0</v>
      </c>
      <c r="M59" s="989">
        <f t="shared" si="8"/>
        <v>0</v>
      </c>
      <c r="N59" s="981">
        <f>'Table 5C1A-Madison Prep'!N59</f>
        <v>2119</v>
      </c>
      <c r="O59" s="983">
        <f t="shared" si="9"/>
        <v>0</v>
      </c>
      <c r="P59" s="1029">
        <f t="shared" si="10"/>
        <v>0</v>
      </c>
      <c r="Q59" s="983">
        <f t="shared" si="11"/>
        <v>0</v>
      </c>
      <c r="R59" s="983">
        <v>0</v>
      </c>
      <c r="S59" s="983">
        <f t="shared" si="12"/>
        <v>0</v>
      </c>
      <c r="T59" s="983">
        <f t="shared" si="13"/>
        <v>0</v>
      </c>
      <c r="U59" s="984">
        <f t="shared" si="14"/>
        <v>0</v>
      </c>
      <c r="V59" s="984">
        <f t="shared" si="14"/>
        <v>0</v>
      </c>
    </row>
    <row r="60" spans="1:22">
      <c r="A60" s="960">
        <v>54</v>
      </c>
      <c r="B60" s="961" t="s">
        <v>145</v>
      </c>
      <c r="C60" s="1081">
        <f>'2-1-13 SIS'!M60</f>
        <v>0</v>
      </c>
      <c r="D60" s="966">
        <f>'Table 3 Levels 1&amp;2'!AL61</f>
        <v>5951.8009386275662</v>
      </c>
      <c r="E60" s="1013">
        <f t="shared" si="2"/>
        <v>0</v>
      </c>
      <c r="F60" s="1013">
        <f>'Table 4 Level 3'!P59</f>
        <v>951.45</v>
      </c>
      <c r="G60" s="1013">
        <f t="shared" si="3"/>
        <v>0</v>
      </c>
      <c r="H60" s="989">
        <f t="shared" si="4"/>
        <v>0</v>
      </c>
      <c r="I60" s="1023">
        <f t="shared" si="5"/>
        <v>0</v>
      </c>
      <c r="J60" s="989">
        <f t="shared" si="6"/>
        <v>0</v>
      </c>
      <c r="K60" s="989">
        <v>0</v>
      </c>
      <c r="L60" s="989">
        <f t="shared" si="7"/>
        <v>0</v>
      </c>
      <c r="M60" s="989">
        <f t="shared" si="8"/>
        <v>0</v>
      </c>
      <c r="N60" s="981">
        <f>'Table 5C1A-Madison Prep'!N60</f>
        <v>3690</v>
      </c>
      <c r="O60" s="983">
        <f t="shared" si="9"/>
        <v>0</v>
      </c>
      <c r="P60" s="1029">
        <f t="shared" si="10"/>
        <v>0</v>
      </c>
      <c r="Q60" s="983">
        <f t="shared" si="11"/>
        <v>0</v>
      </c>
      <c r="R60" s="983">
        <v>0</v>
      </c>
      <c r="S60" s="983">
        <f t="shared" si="12"/>
        <v>0</v>
      </c>
      <c r="T60" s="983">
        <f t="shared" si="13"/>
        <v>0</v>
      </c>
      <c r="U60" s="984">
        <f t="shared" si="14"/>
        <v>0</v>
      </c>
      <c r="V60" s="984">
        <f t="shared" si="14"/>
        <v>0</v>
      </c>
    </row>
    <row r="61" spans="1:22">
      <c r="A61" s="963">
        <v>55</v>
      </c>
      <c r="B61" s="964" t="s">
        <v>146</v>
      </c>
      <c r="C61" s="1082">
        <f>'2-1-13 SIS'!M61</f>
        <v>0</v>
      </c>
      <c r="D61" s="967">
        <f>'Table 3 Levels 1&amp;2'!AL62</f>
        <v>4171.0434735233157</v>
      </c>
      <c r="E61" s="1014">
        <f t="shared" si="2"/>
        <v>0</v>
      </c>
      <c r="F61" s="1014">
        <f>'Table 4 Level 3'!P60</f>
        <v>795.14</v>
      </c>
      <c r="G61" s="1014">
        <f t="shared" si="3"/>
        <v>0</v>
      </c>
      <c r="H61" s="990">
        <f t="shared" si="4"/>
        <v>0</v>
      </c>
      <c r="I61" s="1024">
        <f t="shared" si="5"/>
        <v>0</v>
      </c>
      <c r="J61" s="990">
        <f t="shared" si="6"/>
        <v>0</v>
      </c>
      <c r="K61" s="990">
        <v>0</v>
      </c>
      <c r="L61" s="990">
        <f t="shared" si="7"/>
        <v>0</v>
      </c>
      <c r="M61" s="990">
        <f t="shared" si="8"/>
        <v>0</v>
      </c>
      <c r="N61" s="986">
        <f>'Table 5C1A-Madison Prep'!N61</f>
        <v>3157</v>
      </c>
      <c r="O61" s="987">
        <f t="shared" si="9"/>
        <v>0</v>
      </c>
      <c r="P61" s="1030">
        <f t="shared" si="10"/>
        <v>0</v>
      </c>
      <c r="Q61" s="987">
        <f t="shared" si="11"/>
        <v>0</v>
      </c>
      <c r="R61" s="987">
        <v>0</v>
      </c>
      <c r="S61" s="987">
        <f t="shared" si="12"/>
        <v>0</v>
      </c>
      <c r="T61" s="987">
        <f t="shared" si="13"/>
        <v>0</v>
      </c>
      <c r="U61" s="988">
        <f t="shared" si="14"/>
        <v>0</v>
      </c>
      <c r="V61" s="988">
        <f t="shared" si="14"/>
        <v>0</v>
      </c>
    </row>
    <row r="62" spans="1:22">
      <c r="A62" s="953">
        <v>56</v>
      </c>
      <c r="B62" s="954" t="s">
        <v>147</v>
      </c>
      <c r="C62" s="1083">
        <f>'2-1-13 SIS'!M62</f>
        <v>0</v>
      </c>
      <c r="D62" s="968">
        <f>'Table 3 Levels 1&amp;2'!AL63</f>
        <v>4968.593189672727</v>
      </c>
      <c r="E62" s="1015">
        <f t="shared" si="2"/>
        <v>0</v>
      </c>
      <c r="F62" s="1015">
        <f>'Table 4 Level 3'!P61</f>
        <v>614.66000000000008</v>
      </c>
      <c r="G62" s="1015">
        <f t="shared" si="3"/>
        <v>0</v>
      </c>
      <c r="H62" s="991">
        <f t="shared" si="4"/>
        <v>0</v>
      </c>
      <c r="I62" s="1025">
        <f t="shared" si="5"/>
        <v>0</v>
      </c>
      <c r="J62" s="991">
        <f t="shared" si="6"/>
        <v>0</v>
      </c>
      <c r="K62" s="991">
        <v>0</v>
      </c>
      <c r="L62" s="991">
        <f t="shared" si="7"/>
        <v>0</v>
      </c>
      <c r="M62" s="991">
        <f t="shared" si="8"/>
        <v>0</v>
      </c>
      <c r="N62" s="981">
        <f>'Table 5C1A-Madison Prep'!N62</f>
        <v>2779</v>
      </c>
      <c r="O62" s="958">
        <f t="shared" si="9"/>
        <v>0</v>
      </c>
      <c r="P62" s="1028">
        <f t="shared" si="10"/>
        <v>0</v>
      </c>
      <c r="Q62" s="958">
        <f t="shared" si="11"/>
        <v>0</v>
      </c>
      <c r="R62" s="958">
        <v>0</v>
      </c>
      <c r="S62" s="958">
        <f t="shared" si="12"/>
        <v>0</v>
      </c>
      <c r="T62" s="958">
        <f t="shared" si="13"/>
        <v>0</v>
      </c>
      <c r="U62" s="959">
        <f t="shared" si="14"/>
        <v>0</v>
      </c>
      <c r="V62" s="959">
        <f t="shared" si="14"/>
        <v>0</v>
      </c>
    </row>
    <row r="63" spans="1:22">
      <c r="A63" s="960">
        <v>57</v>
      </c>
      <c r="B63" s="961" t="s">
        <v>148</v>
      </c>
      <c r="C63" s="1081">
        <f>'2-1-13 SIS'!M63</f>
        <v>0</v>
      </c>
      <c r="D63" s="966">
        <f>'Table 3 Levels 1&amp;2'!AL64</f>
        <v>4485.7073020218859</v>
      </c>
      <c r="E63" s="1013">
        <f t="shared" si="2"/>
        <v>0</v>
      </c>
      <c r="F63" s="1013">
        <f>'Table 4 Level 3'!P62</f>
        <v>764.51</v>
      </c>
      <c r="G63" s="1013">
        <f t="shared" si="3"/>
        <v>0</v>
      </c>
      <c r="H63" s="989">
        <f t="shared" si="4"/>
        <v>0</v>
      </c>
      <c r="I63" s="1023">
        <f t="shared" si="5"/>
        <v>0</v>
      </c>
      <c r="J63" s="989">
        <f t="shared" si="6"/>
        <v>0</v>
      </c>
      <c r="K63" s="989">
        <v>0</v>
      </c>
      <c r="L63" s="989">
        <f t="shared" si="7"/>
        <v>0</v>
      </c>
      <c r="M63" s="989">
        <f t="shared" si="8"/>
        <v>0</v>
      </c>
      <c r="N63" s="981">
        <f>'Table 5C1A-Madison Prep'!N63</f>
        <v>3107</v>
      </c>
      <c r="O63" s="983">
        <f t="shared" si="9"/>
        <v>0</v>
      </c>
      <c r="P63" s="1029">
        <f t="shared" si="10"/>
        <v>0</v>
      </c>
      <c r="Q63" s="983">
        <f t="shared" si="11"/>
        <v>0</v>
      </c>
      <c r="R63" s="983">
        <v>0</v>
      </c>
      <c r="S63" s="983">
        <f t="shared" si="12"/>
        <v>0</v>
      </c>
      <c r="T63" s="983">
        <f t="shared" si="13"/>
        <v>0</v>
      </c>
      <c r="U63" s="984">
        <f t="shared" si="14"/>
        <v>0</v>
      </c>
      <c r="V63" s="984">
        <f t="shared" si="14"/>
        <v>0</v>
      </c>
    </row>
    <row r="64" spans="1:22">
      <c r="A64" s="960">
        <v>58</v>
      </c>
      <c r="B64" s="961" t="s">
        <v>149</v>
      </c>
      <c r="C64" s="1081">
        <f>'2-1-13 SIS'!M64</f>
        <v>0</v>
      </c>
      <c r="D64" s="966">
        <f>'Table 3 Levels 1&amp;2'!AL65</f>
        <v>5457.8662803476354</v>
      </c>
      <c r="E64" s="1013">
        <f t="shared" si="2"/>
        <v>0</v>
      </c>
      <c r="F64" s="1013">
        <f>'Table 4 Level 3'!P63</f>
        <v>697.04</v>
      </c>
      <c r="G64" s="1013">
        <f t="shared" si="3"/>
        <v>0</v>
      </c>
      <c r="H64" s="989">
        <f t="shared" si="4"/>
        <v>0</v>
      </c>
      <c r="I64" s="1023">
        <f t="shared" si="5"/>
        <v>0</v>
      </c>
      <c r="J64" s="989">
        <f t="shared" si="6"/>
        <v>0</v>
      </c>
      <c r="K64" s="989">
        <v>0</v>
      </c>
      <c r="L64" s="989">
        <f t="shared" si="7"/>
        <v>0</v>
      </c>
      <c r="M64" s="989">
        <f t="shared" si="8"/>
        <v>0</v>
      </c>
      <c r="N64" s="981">
        <f>'Table 5C1A-Madison Prep'!N64</f>
        <v>2105</v>
      </c>
      <c r="O64" s="983">
        <f t="shared" si="9"/>
        <v>0</v>
      </c>
      <c r="P64" s="1029">
        <f t="shared" si="10"/>
        <v>0</v>
      </c>
      <c r="Q64" s="983">
        <f t="shared" si="11"/>
        <v>0</v>
      </c>
      <c r="R64" s="983">
        <v>0</v>
      </c>
      <c r="S64" s="983">
        <f t="shared" si="12"/>
        <v>0</v>
      </c>
      <c r="T64" s="983">
        <f t="shared" si="13"/>
        <v>0</v>
      </c>
      <c r="U64" s="984">
        <f t="shared" si="14"/>
        <v>0</v>
      </c>
      <c r="V64" s="984">
        <f t="shared" si="14"/>
        <v>0</v>
      </c>
    </row>
    <row r="65" spans="1:22">
      <c r="A65" s="960">
        <v>59</v>
      </c>
      <c r="B65" s="961" t="s">
        <v>150</v>
      </c>
      <c r="C65" s="1081">
        <f>'2-1-13 SIS'!M65</f>
        <v>0</v>
      </c>
      <c r="D65" s="966">
        <f>'Table 3 Levels 1&amp;2'!AL66</f>
        <v>6274.2786338006481</v>
      </c>
      <c r="E65" s="1013">
        <f t="shared" si="2"/>
        <v>0</v>
      </c>
      <c r="F65" s="1013">
        <f>'Table 4 Level 3'!P64</f>
        <v>689.52</v>
      </c>
      <c r="G65" s="1013">
        <f t="shared" si="3"/>
        <v>0</v>
      </c>
      <c r="H65" s="989">
        <f t="shared" si="4"/>
        <v>0</v>
      </c>
      <c r="I65" s="1023">
        <f t="shared" si="5"/>
        <v>0</v>
      </c>
      <c r="J65" s="989">
        <f t="shared" si="6"/>
        <v>0</v>
      </c>
      <c r="K65" s="989">
        <v>0</v>
      </c>
      <c r="L65" s="989">
        <f t="shared" si="7"/>
        <v>0</v>
      </c>
      <c r="M65" s="989">
        <f t="shared" si="8"/>
        <v>0</v>
      </c>
      <c r="N65" s="981">
        <f>'Table 5C1A-Madison Prep'!N65</f>
        <v>1510</v>
      </c>
      <c r="O65" s="983">
        <f t="shared" si="9"/>
        <v>0</v>
      </c>
      <c r="P65" s="1029">
        <f t="shared" si="10"/>
        <v>0</v>
      </c>
      <c r="Q65" s="983">
        <f t="shared" si="11"/>
        <v>0</v>
      </c>
      <c r="R65" s="983">
        <v>0</v>
      </c>
      <c r="S65" s="983">
        <f t="shared" si="12"/>
        <v>0</v>
      </c>
      <c r="T65" s="983">
        <f t="shared" si="13"/>
        <v>0</v>
      </c>
      <c r="U65" s="984">
        <f t="shared" si="14"/>
        <v>0</v>
      </c>
      <c r="V65" s="984">
        <f t="shared" si="14"/>
        <v>0</v>
      </c>
    </row>
    <row r="66" spans="1:22">
      <c r="A66" s="963">
        <v>60</v>
      </c>
      <c r="B66" s="964" t="s">
        <v>151</v>
      </c>
      <c r="C66" s="1082">
        <f>'2-1-13 SIS'!M66</f>
        <v>0</v>
      </c>
      <c r="D66" s="967">
        <f>'Table 3 Levels 1&amp;2'!AL67</f>
        <v>4940.9166775610411</v>
      </c>
      <c r="E66" s="1014">
        <f t="shared" si="2"/>
        <v>0</v>
      </c>
      <c r="F66" s="1014">
        <f>'Table 4 Level 3'!P65</f>
        <v>594.04</v>
      </c>
      <c r="G66" s="1014">
        <f t="shared" si="3"/>
        <v>0</v>
      </c>
      <c r="H66" s="990">
        <f t="shared" si="4"/>
        <v>0</v>
      </c>
      <c r="I66" s="1024">
        <f t="shared" si="5"/>
        <v>0</v>
      </c>
      <c r="J66" s="990">
        <f t="shared" si="6"/>
        <v>0</v>
      </c>
      <c r="K66" s="990">
        <v>0</v>
      </c>
      <c r="L66" s="990">
        <f t="shared" si="7"/>
        <v>0</v>
      </c>
      <c r="M66" s="990">
        <f t="shared" si="8"/>
        <v>0</v>
      </c>
      <c r="N66" s="986">
        <f>'Table 5C1A-Madison Prep'!N66</f>
        <v>3793</v>
      </c>
      <c r="O66" s="987">
        <f t="shared" si="9"/>
        <v>0</v>
      </c>
      <c r="P66" s="1030">
        <f t="shared" si="10"/>
        <v>0</v>
      </c>
      <c r="Q66" s="987">
        <f t="shared" si="11"/>
        <v>0</v>
      </c>
      <c r="R66" s="987">
        <v>0</v>
      </c>
      <c r="S66" s="987">
        <f t="shared" si="12"/>
        <v>0</v>
      </c>
      <c r="T66" s="987">
        <f t="shared" si="13"/>
        <v>0</v>
      </c>
      <c r="U66" s="988">
        <f t="shared" si="14"/>
        <v>0</v>
      </c>
      <c r="V66" s="988">
        <f t="shared" si="14"/>
        <v>0</v>
      </c>
    </row>
    <row r="67" spans="1:22">
      <c r="A67" s="953">
        <v>61</v>
      </c>
      <c r="B67" s="954" t="s">
        <v>152</v>
      </c>
      <c r="C67" s="1083">
        <f>'2-1-13 SIS'!M67</f>
        <v>0</v>
      </c>
      <c r="D67" s="968">
        <f>'Table 3 Levels 1&amp;2'!AL68</f>
        <v>2908.0344869339228</v>
      </c>
      <c r="E67" s="1015">
        <f t="shared" si="2"/>
        <v>0</v>
      </c>
      <c r="F67" s="1015">
        <f>'Table 4 Level 3'!P66</f>
        <v>833.70999999999992</v>
      </c>
      <c r="G67" s="1015">
        <f t="shared" si="3"/>
        <v>0</v>
      </c>
      <c r="H67" s="991">
        <f t="shared" si="4"/>
        <v>0</v>
      </c>
      <c r="I67" s="1025">
        <f t="shared" si="5"/>
        <v>0</v>
      </c>
      <c r="J67" s="991">
        <f t="shared" si="6"/>
        <v>0</v>
      </c>
      <c r="K67" s="991">
        <v>0</v>
      </c>
      <c r="L67" s="991">
        <f t="shared" si="7"/>
        <v>0</v>
      </c>
      <c r="M67" s="991">
        <f t="shared" si="8"/>
        <v>0</v>
      </c>
      <c r="N67" s="981">
        <f>'Table 5C1A-Madison Prep'!N67</f>
        <v>6570</v>
      </c>
      <c r="O67" s="958">
        <f t="shared" si="9"/>
        <v>0</v>
      </c>
      <c r="P67" s="1028">
        <f t="shared" si="10"/>
        <v>0</v>
      </c>
      <c r="Q67" s="958">
        <f t="shared" si="11"/>
        <v>0</v>
      </c>
      <c r="R67" s="958">
        <v>0</v>
      </c>
      <c r="S67" s="958">
        <f t="shared" si="12"/>
        <v>0</v>
      </c>
      <c r="T67" s="958">
        <f t="shared" si="13"/>
        <v>0</v>
      </c>
      <c r="U67" s="959">
        <f t="shared" si="14"/>
        <v>0</v>
      </c>
      <c r="V67" s="959">
        <f t="shared" si="14"/>
        <v>0</v>
      </c>
    </row>
    <row r="68" spans="1:22">
      <c r="A68" s="960">
        <v>62</v>
      </c>
      <c r="B68" s="961" t="s">
        <v>153</v>
      </c>
      <c r="C68" s="1081">
        <f>'2-1-13 SIS'!M68</f>
        <v>0</v>
      </c>
      <c r="D68" s="966">
        <f>'Table 3 Levels 1&amp;2'!AL69</f>
        <v>5652.1730736722093</v>
      </c>
      <c r="E68" s="1013">
        <f t="shared" si="2"/>
        <v>0</v>
      </c>
      <c r="F68" s="1013">
        <f>'Table 4 Level 3'!P67</f>
        <v>516.08000000000004</v>
      </c>
      <c r="G68" s="1013">
        <f t="shared" si="3"/>
        <v>0</v>
      </c>
      <c r="H68" s="989">
        <f t="shared" si="4"/>
        <v>0</v>
      </c>
      <c r="I68" s="1023">
        <f t="shared" si="5"/>
        <v>0</v>
      </c>
      <c r="J68" s="989">
        <f t="shared" si="6"/>
        <v>0</v>
      </c>
      <c r="K68" s="989">
        <v>0</v>
      </c>
      <c r="L68" s="989">
        <f t="shared" si="7"/>
        <v>0</v>
      </c>
      <c r="M68" s="989">
        <f t="shared" si="8"/>
        <v>0</v>
      </c>
      <c r="N68" s="981">
        <f>'Table 5C1A-Madison Prep'!N68</f>
        <v>1934</v>
      </c>
      <c r="O68" s="983">
        <f t="shared" si="9"/>
        <v>0</v>
      </c>
      <c r="P68" s="1029">
        <f t="shared" si="10"/>
        <v>0</v>
      </c>
      <c r="Q68" s="983">
        <f t="shared" si="11"/>
        <v>0</v>
      </c>
      <c r="R68" s="983">
        <v>0</v>
      </c>
      <c r="S68" s="983">
        <f t="shared" si="12"/>
        <v>0</v>
      </c>
      <c r="T68" s="983">
        <f t="shared" si="13"/>
        <v>0</v>
      </c>
      <c r="U68" s="984">
        <f t="shared" si="14"/>
        <v>0</v>
      </c>
      <c r="V68" s="984">
        <f t="shared" si="14"/>
        <v>0</v>
      </c>
    </row>
    <row r="69" spans="1:22">
      <c r="A69" s="960">
        <v>63</v>
      </c>
      <c r="B69" s="961" t="s">
        <v>154</v>
      </c>
      <c r="C69" s="1081">
        <f>'2-1-13 SIS'!M69</f>
        <v>0</v>
      </c>
      <c r="D69" s="966">
        <f>'Table 3 Levels 1&amp;2'!AL70</f>
        <v>4362.300753810403</v>
      </c>
      <c r="E69" s="1013">
        <f t="shared" si="2"/>
        <v>0</v>
      </c>
      <c r="F69" s="1013">
        <f>'Table 4 Level 3'!P68</f>
        <v>756.79</v>
      </c>
      <c r="G69" s="1013">
        <f t="shared" si="3"/>
        <v>0</v>
      </c>
      <c r="H69" s="989">
        <f t="shared" si="4"/>
        <v>0</v>
      </c>
      <c r="I69" s="1023">
        <f t="shared" si="5"/>
        <v>0</v>
      </c>
      <c r="J69" s="989">
        <f t="shared" si="6"/>
        <v>0</v>
      </c>
      <c r="K69" s="989">
        <v>0</v>
      </c>
      <c r="L69" s="989">
        <f t="shared" si="7"/>
        <v>0</v>
      </c>
      <c r="M69" s="989">
        <f t="shared" si="8"/>
        <v>0</v>
      </c>
      <c r="N69" s="981">
        <f>'Table 5C1A-Madison Prep'!N69</f>
        <v>6787</v>
      </c>
      <c r="O69" s="983">
        <f t="shared" si="9"/>
        <v>0</v>
      </c>
      <c r="P69" s="1029">
        <f t="shared" si="10"/>
        <v>0</v>
      </c>
      <c r="Q69" s="983">
        <f t="shared" si="11"/>
        <v>0</v>
      </c>
      <c r="R69" s="983">
        <v>0</v>
      </c>
      <c r="S69" s="983">
        <f t="shared" si="12"/>
        <v>0</v>
      </c>
      <c r="T69" s="983">
        <f t="shared" si="13"/>
        <v>0</v>
      </c>
      <c r="U69" s="984">
        <f t="shared" si="14"/>
        <v>0</v>
      </c>
      <c r="V69" s="984">
        <f t="shared" si="14"/>
        <v>0</v>
      </c>
    </row>
    <row r="70" spans="1:22">
      <c r="A70" s="960">
        <v>64</v>
      </c>
      <c r="B70" s="961" t="s">
        <v>155</v>
      </c>
      <c r="C70" s="1081">
        <f>'2-1-13 SIS'!M70</f>
        <v>0</v>
      </c>
      <c r="D70" s="966">
        <f>'Table 3 Levels 1&amp;2'!AL71</f>
        <v>5960.2049072003338</v>
      </c>
      <c r="E70" s="1013">
        <f t="shared" si="2"/>
        <v>0</v>
      </c>
      <c r="F70" s="1013">
        <f>'Table 4 Level 3'!P69</f>
        <v>592.66</v>
      </c>
      <c r="G70" s="1013">
        <f t="shared" si="3"/>
        <v>0</v>
      </c>
      <c r="H70" s="989">
        <f t="shared" si="4"/>
        <v>0</v>
      </c>
      <c r="I70" s="1023">
        <f t="shared" si="5"/>
        <v>0</v>
      </c>
      <c r="J70" s="989">
        <f t="shared" si="6"/>
        <v>0</v>
      </c>
      <c r="K70" s="989">
        <v>0</v>
      </c>
      <c r="L70" s="989">
        <f t="shared" si="7"/>
        <v>0</v>
      </c>
      <c r="M70" s="989">
        <f t="shared" si="8"/>
        <v>0</v>
      </c>
      <c r="N70" s="981">
        <f>'Table 5C1A-Madison Prep'!N70</f>
        <v>2901</v>
      </c>
      <c r="O70" s="983">
        <f t="shared" si="9"/>
        <v>0</v>
      </c>
      <c r="P70" s="1029">
        <f t="shared" si="10"/>
        <v>0</v>
      </c>
      <c r="Q70" s="983">
        <f t="shared" si="11"/>
        <v>0</v>
      </c>
      <c r="R70" s="983">
        <v>0</v>
      </c>
      <c r="S70" s="983">
        <f t="shared" si="12"/>
        <v>0</v>
      </c>
      <c r="T70" s="983">
        <f t="shared" si="13"/>
        <v>0</v>
      </c>
      <c r="U70" s="984">
        <f t="shared" si="14"/>
        <v>0</v>
      </c>
      <c r="V70" s="984">
        <f t="shared" si="14"/>
        <v>0</v>
      </c>
    </row>
    <row r="71" spans="1:22">
      <c r="A71" s="963">
        <v>65</v>
      </c>
      <c r="B71" s="964" t="s">
        <v>156</v>
      </c>
      <c r="C71" s="1082">
        <f>'2-1-13 SIS'!M71</f>
        <v>0</v>
      </c>
      <c r="D71" s="967">
        <f>'Table 3 Levels 1&amp;2'!AL72</f>
        <v>4579.2772303106676</v>
      </c>
      <c r="E71" s="1014">
        <f t="shared" si="2"/>
        <v>0</v>
      </c>
      <c r="F71" s="1014">
        <f>'Table 4 Level 3'!P70</f>
        <v>829.12</v>
      </c>
      <c r="G71" s="1014">
        <f t="shared" si="3"/>
        <v>0</v>
      </c>
      <c r="H71" s="990">
        <f t="shared" si="4"/>
        <v>0</v>
      </c>
      <c r="I71" s="1024">
        <f t="shared" si="5"/>
        <v>0</v>
      </c>
      <c r="J71" s="990">
        <f t="shared" si="6"/>
        <v>0</v>
      </c>
      <c r="K71" s="990">
        <v>0</v>
      </c>
      <c r="L71" s="990">
        <f t="shared" si="7"/>
        <v>0</v>
      </c>
      <c r="M71" s="990">
        <f t="shared" si="8"/>
        <v>0</v>
      </c>
      <c r="N71" s="986">
        <f>'Table 5C1A-Madison Prep'!N71</f>
        <v>5001</v>
      </c>
      <c r="O71" s="987">
        <f t="shared" si="9"/>
        <v>0</v>
      </c>
      <c r="P71" s="1030">
        <f t="shared" si="10"/>
        <v>0</v>
      </c>
      <c r="Q71" s="987">
        <f t="shared" si="11"/>
        <v>0</v>
      </c>
      <c r="R71" s="987">
        <v>0</v>
      </c>
      <c r="S71" s="987">
        <f t="shared" si="12"/>
        <v>0</v>
      </c>
      <c r="T71" s="987">
        <f t="shared" si="13"/>
        <v>0</v>
      </c>
      <c r="U71" s="988">
        <f t="shared" si="14"/>
        <v>0</v>
      </c>
      <c r="V71" s="988">
        <f t="shared" si="14"/>
        <v>0</v>
      </c>
    </row>
    <row r="72" spans="1:22">
      <c r="A72" s="953">
        <v>66</v>
      </c>
      <c r="B72" s="954" t="s">
        <v>157</v>
      </c>
      <c r="C72" s="1083">
        <f>'2-1-13 SIS'!M72</f>
        <v>0</v>
      </c>
      <c r="D72" s="968">
        <f>'Table 3 Levels 1&amp;2'!AL73</f>
        <v>6370.8108195713585</v>
      </c>
      <c r="E72" s="1015">
        <f t="shared" ref="E72:E75" si="15">C72*D72</f>
        <v>0</v>
      </c>
      <c r="F72" s="1015">
        <f>'Table 4 Level 3'!P71</f>
        <v>730.06</v>
      </c>
      <c r="G72" s="1015">
        <f t="shared" ref="G72:G75" si="16">C72*F72</f>
        <v>0</v>
      </c>
      <c r="H72" s="991">
        <f t="shared" ref="H72:H75" si="17">E72+G72</f>
        <v>0</v>
      </c>
      <c r="I72" s="1025">
        <f t="shared" ref="I72:I75" si="18">-(0.25%*H72)</f>
        <v>0</v>
      </c>
      <c r="J72" s="991">
        <f t="shared" ref="J72:J75" si="19">SUM(H72:I72)</f>
        <v>0</v>
      </c>
      <c r="K72" s="991">
        <v>0</v>
      </c>
      <c r="L72" s="991">
        <f t="shared" ref="L72:L75" si="20">SUM(J72:K72)</f>
        <v>0</v>
      </c>
      <c r="M72" s="991">
        <f t="shared" ref="M72:M75" si="21">L72/12</f>
        <v>0</v>
      </c>
      <c r="N72" s="981">
        <f>'Table 5C1A-Madison Prep'!N72</f>
        <v>3415</v>
      </c>
      <c r="O72" s="958">
        <f t="shared" ref="O72:O75" si="22">C72*N72</f>
        <v>0</v>
      </c>
      <c r="P72" s="1028">
        <f t="shared" ref="P72:P75" si="23">-(0.25%*O72)</f>
        <v>0</v>
      </c>
      <c r="Q72" s="958">
        <f t="shared" ref="Q72:Q75" si="24">SUM(O72:P72)</f>
        <v>0</v>
      </c>
      <c r="R72" s="958">
        <v>0</v>
      </c>
      <c r="S72" s="958">
        <f t="shared" ref="S72:S75" si="25">SUM(Q72:R72)</f>
        <v>0</v>
      </c>
      <c r="T72" s="958">
        <f t="shared" ref="T72:T75" si="26">S72/12</f>
        <v>0</v>
      </c>
      <c r="U72" s="959">
        <f t="shared" ref="U72:V75" si="27">L72+S72</f>
        <v>0</v>
      </c>
      <c r="V72" s="959">
        <f t="shared" si="27"/>
        <v>0</v>
      </c>
    </row>
    <row r="73" spans="1:22">
      <c r="A73" s="960">
        <v>67</v>
      </c>
      <c r="B73" s="961" t="s">
        <v>32</v>
      </c>
      <c r="C73" s="1081">
        <f>'2-1-13 SIS'!M73</f>
        <v>0</v>
      </c>
      <c r="D73" s="966">
        <f>'Table 3 Levels 1&amp;2'!AL74</f>
        <v>4951.6009932106244</v>
      </c>
      <c r="E73" s="1013">
        <f t="shared" si="15"/>
        <v>0</v>
      </c>
      <c r="F73" s="1013">
        <f>'Table 4 Level 3'!P72</f>
        <v>715.61</v>
      </c>
      <c r="G73" s="1013">
        <f t="shared" si="16"/>
        <v>0</v>
      </c>
      <c r="H73" s="989">
        <f t="shared" si="17"/>
        <v>0</v>
      </c>
      <c r="I73" s="1023">
        <f t="shared" si="18"/>
        <v>0</v>
      </c>
      <c r="J73" s="989">
        <f t="shared" si="19"/>
        <v>0</v>
      </c>
      <c r="K73" s="989">
        <v>0</v>
      </c>
      <c r="L73" s="989">
        <f t="shared" si="20"/>
        <v>0</v>
      </c>
      <c r="M73" s="989">
        <f t="shared" si="21"/>
        <v>0</v>
      </c>
      <c r="N73" s="981">
        <f>'Table 5C1A-Madison Prep'!N73</f>
        <v>5221</v>
      </c>
      <c r="O73" s="983">
        <f t="shared" si="22"/>
        <v>0</v>
      </c>
      <c r="P73" s="1029">
        <f t="shared" si="23"/>
        <v>0</v>
      </c>
      <c r="Q73" s="983">
        <f t="shared" si="24"/>
        <v>0</v>
      </c>
      <c r="R73" s="983">
        <v>0</v>
      </c>
      <c r="S73" s="983">
        <f t="shared" si="25"/>
        <v>0</v>
      </c>
      <c r="T73" s="983">
        <f t="shared" si="26"/>
        <v>0</v>
      </c>
      <c r="U73" s="984">
        <f t="shared" si="27"/>
        <v>0</v>
      </c>
      <c r="V73" s="984">
        <f t="shared" si="27"/>
        <v>0</v>
      </c>
    </row>
    <row r="74" spans="1:22">
      <c r="A74" s="960">
        <v>68</v>
      </c>
      <c r="B74" s="961" t="s">
        <v>30</v>
      </c>
      <c r="C74" s="1081">
        <f>'2-1-13 SIS'!M74</f>
        <v>0</v>
      </c>
      <c r="D74" s="966">
        <f>'Table 3 Levels 1&amp;2'!AL75</f>
        <v>6077.2398733698947</v>
      </c>
      <c r="E74" s="1013">
        <f t="shared" si="15"/>
        <v>0</v>
      </c>
      <c r="F74" s="1013">
        <f>'Table 4 Level 3'!P73</f>
        <v>798.7</v>
      </c>
      <c r="G74" s="1013">
        <f t="shared" si="16"/>
        <v>0</v>
      </c>
      <c r="H74" s="989">
        <f t="shared" si="17"/>
        <v>0</v>
      </c>
      <c r="I74" s="1023">
        <f t="shared" si="18"/>
        <v>0</v>
      </c>
      <c r="J74" s="989">
        <f t="shared" si="19"/>
        <v>0</v>
      </c>
      <c r="K74" s="989">
        <v>0</v>
      </c>
      <c r="L74" s="989">
        <f t="shared" si="20"/>
        <v>0</v>
      </c>
      <c r="M74" s="989">
        <f t="shared" si="21"/>
        <v>0</v>
      </c>
      <c r="N74" s="981">
        <f>'Table 5C1A-Madison Prep'!N74</f>
        <v>2680</v>
      </c>
      <c r="O74" s="983">
        <f t="shared" si="22"/>
        <v>0</v>
      </c>
      <c r="P74" s="1029">
        <f t="shared" si="23"/>
        <v>0</v>
      </c>
      <c r="Q74" s="983">
        <f t="shared" si="24"/>
        <v>0</v>
      </c>
      <c r="R74" s="983">
        <v>0</v>
      </c>
      <c r="S74" s="983">
        <f t="shared" si="25"/>
        <v>0</v>
      </c>
      <c r="T74" s="983">
        <f t="shared" si="26"/>
        <v>0</v>
      </c>
      <c r="U74" s="984">
        <f t="shared" si="27"/>
        <v>0</v>
      </c>
      <c r="V74" s="984">
        <f t="shared" si="27"/>
        <v>0</v>
      </c>
    </row>
    <row r="75" spans="1:22">
      <c r="A75" s="969">
        <v>69</v>
      </c>
      <c r="B75" s="970" t="s">
        <v>208</v>
      </c>
      <c r="C75" s="1084">
        <f>'2-1-13 SIS'!M75</f>
        <v>0</v>
      </c>
      <c r="D75" s="971">
        <f>'Table 3 Levels 1&amp;2'!AL76</f>
        <v>5585.8253106686579</v>
      </c>
      <c r="E75" s="1016">
        <f t="shared" si="15"/>
        <v>0</v>
      </c>
      <c r="F75" s="1016">
        <f>'Table 4 Level 3'!P74</f>
        <v>705.67</v>
      </c>
      <c r="G75" s="1016">
        <f t="shared" si="16"/>
        <v>0</v>
      </c>
      <c r="H75" s="992">
        <f t="shared" si="17"/>
        <v>0</v>
      </c>
      <c r="I75" s="1026">
        <f t="shared" si="18"/>
        <v>0</v>
      </c>
      <c r="J75" s="992">
        <f t="shared" si="19"/>
        <v>0</v>
      </c>
      <c r="K75" s="992">
        <v>0</v>
      </c>
      <c r="L75" s="992">
        <f t="shared" si="20"/>
        <v>0</v>
      </c>
      <c r="M75" s="992">
        <f t="shared" si="21"/>
        <v>0</v>
      </c>
      <c r="N75" s="981">
        <f>'Table 5C1A-Madison Prep'!N75</f>
        <v>3263</v>
      </c>
      <c r="O75" s="993">
        <f t="shared" si="22"/>
        <v>0</v>
      </c>
      <c r="P75" s="1031">
        <f t="shared" si="23"/>
        <v>0</v>
      </c>
      <c r="Q75" s="993">
        <f t="shared" si="24"/>
        <v>0</v>
      </c>
      <c r="R75" s="993">
        <v>0</v>
      </c>
      <c r="S75" s="993">
        <f t="shared" si="25"/>
        <v>0</v>
      </c>
      <c r="T75" s="993">
        <f t="shared" si="26"/>
        <v>0</v>
      </c>
      <c r="U75" s="994">
        <f t="shared" si="27"/>
        <v>0</v>
      </c>
      <c r="V75" s="994">
        <f t="shared" si="27"/>
        <v>0</v>
      </c>
    </row>
    <row r="76" spans="1:22" ht="13.5" thickBot="1">
      <c r="A76" s="972"/>
      <c r="B76" s="973" t="s">
        <v>158</v>
      </c>
      <c r="C76" s="974">
        <f>SUM(C7:C75)</f>
        <v>755</v>
      </c>
      <c r="D76" s="975"/>
      <c r="E76" s="1017">
        <f>SUM(E7:E75)</f>
        <v>3211466.5367339295</v>
      </c>
      <c r="F76" s="1017">
        <f>'Table 4 Level 3'!P75</f>
        <v>704.49059912051428</v>
      </c>
      <c r="G76" s="1017">
        <f t="shared" ref="G76:L76" si="28">SUM(G7:G75)</f>
        <v>459070.20000000007</v>
      </c>
      <c r="H76" s="976">
        <f t="shared" si="28"/>
        <v>3670536.7367339297</v>
      </c>
      <c r="I76" s="1027">
        <f t="shared" si="28"/>
        <v>-9176.3418418348247</v>
      </c>
      <c r="J76" s="976">
        <f t="shared" si="28"/>
        <v>3661360.3948920951</v>
      </c>
      <c r="K76" s="976">
        <f t="shared" si="28"/>
        <v>0</v>
      </c>
      <c r="L76" s="976">
        <f t="shared" si="28"/>
        <v>3661360.3948920951</v>
      </c>
      <c r="M76" s="976">
        <f>SUM(M7:M75)</f>
        <v>305113.36624100793</v>
      </c>
      <c r="N76" s="995">
        <f>'Table 5C1A-Madison Prep'!N76</f>
        <v>4503</v>
      </c>
      <c r="O76" s="977">
        <f t="shared" ref="O76:V76" si="29">SUM(O7:O75)</f>
        <v>3389195</v>
      </c>
      <c r="P76" s="1032">
        <f t="shared" si="29"/>
        <v>-8472.9874999999993</v>
      </c>
      <c r="Q76" s="977">
        <f t="shared" si="29"/>
        <v>3380722.0125000002</v>
      </c>
      <c r="R76" s="977">
        <f t="shared" si="29"/>
        <v>0</v>
      </c>
      <c r="S76" s="977">
        <f t="shared" si="29"/>
        <v>3380722.0125000002</v>
      </c>
      <c r="T76" s="977">
        <f t="shared" si="29"/>
        <v>281726.83437500003</v>
      </c>
      <c r="U76" s="978">
        <f t="shared" si="29"/>
        <v>7042082.4073920958</v>
      </c>
      <c r="V76" s="978">
        <f t="shared" si="29"/>
        <v>586840.2006160079</v>
      </c>
    </row>
    <row r="77" spans="1:22" ht="13.5" thickTop="1"/>
  </sheetData>
  <mergeCells count="19">
    <mergeCell ref="A2:B4"/>
    <mergeCell ref="C2:M2"/>
    <mergeCell ref="N2:T2"/>
    <mergeCell ref="U2:U4"/>
    <mergeCell ref="V2:V4"/>
    <mergeCell ref="C3:C4"/>
    <mergeCell ref="D3:D4"/>
    <mergeCell ref="E3:E4"/>
    <mergeCell ref="F3:F4"/>
    <mergeCell ref="G3:G4"/>
    <mergeCell ref="Q3:Q4"/>
    <mergeCell ref="R3:R4"/>
    <mergeCell ref="S3:S4"/>
    <mergeCell ref="H3:H4"/>
    <mergeCell ref="J3:J4"/>
    <mergeCell ref="K3:K4"/>
    <mergeCell ref="L3:L4"/>
    <mergeCell ref="M3:M4"/>
    <mergeCell ref="N3:N4"/>
  </mergeCells>
  <pageMargins left="0.38" right="0.42" top="0.75" bottom="0.75" header="0.3" footer="0.3"/>
  <pageSetup paperSize="5" scale="60" firstPageNumber="60" orientation="portrait" useFirstPageNumber="1" r:id="rId1"/>
  <headerFooter>
    <oddHeader>&amp;L&amp;"Arial,Bold"&amp;20Table 5C1-F: FY2013-14 MFP Budget Letter 
Lake Charles Charter Academy</oddHeader>
    <oddFooter>&amp;R&amp;P</oddFooter>
  </headerFooter>
  <colBreaks count="1" manualBreakCount="1">
    <brk id="13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view="pageBreakPreview" zoomScale="90" zoomScaleNormal="100" zoomScaleSheetLayoutView="90" workbookViewId="0">
      <pane xSplit="2" ySplit="6" topLeftCell="K7" activePane="bottomRight" state="frozen"/>
      <selection activeCell="B1" sqref="B1:B2"/>
      <selection pane="topRight" activeCell="B1" sqref="B1:B2"/>
      <selection pane="bottomLeft" activeCell="B1" sqref="B1:B2"/>
      <selection pane="bottomRight" activeCell="N8" sqref="N8:N76"/>
    </sheetView>
  </sheetViews>
  <sheetFormatPr defaultRowHeight="12.75"/>
  <cols>
    <col min="1" max="1" width="4.28515625" customWidth="1"/>
    <col min="2" max="2" width="17.85546875" bestFit="1" customWidth="1"/>
    <col min="3" max="3" width="12.5703125" customWidth="1"/>
    <col min="4" max="4" width="17" customWidth="1"/>
    <col min="5" max="5" width="11.140625" customWidth="1"/>
    <col min="6" max="6" width="12" customWidth="1"/>
    <col min="7" max="7" width="13.28515625" customWidth="1"/>
    <col min="8" max="8" width="14.5703125" customWidth="1"/>
    <col min="9" max="9" width="12.28515625" customWidth="1"/>
    <col min="10" max="10" width="12" bestFit="1" customWidth="1"/>
    <col min="11" max="11" width="13.42578125" bestFit="1" customWidth="1"/>
    <col min="12" max="12" width="14" customWidth="1"/>
    <col min="13" max="13" width="10.7109375" customWidth="1"/>
    <col min="14" max="14" width="17.28515625" customWidth="1"/>
    <col min="15" max="15" width="16.7109375" customWidth="1"/>
    <col min="16" max="16" width="13.7109375" customWidth="1"/>
    <col min="17" max="17" width="17" customWidth="1"/>
    <col min="18" max="18" width="15.28515625" customWidth="1"/>
    <col min="19" max="19" width="13.140625" customWidth="1"/>
    <col min="20" max="20" width="12" customWidth="1"/>
    <col min="21" max="21" width="11" customWidth="1"/>
    <col min="22" max="22" width="12.140625" customWidth="1"/>
  </cols>
  <sheetData>
    <row r="1" spans="1:22"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:22" ht="45" customHeight="1">
      <c r="A2" s="1711" t="s">
        <v>508</v>
      </c>
      <c r="B2" s="1712"/>
      <c r="C2" s="1718" t="s">
        <v>500</v>
      </c>
      <c r="D2" s="1719"/>
      <c r="E2" s="1719"/>
      <c r="F2" s="1719"/>
      <c r="G2" s="1719"/>
      <c r="H2" s="1719"/>
      <c r="I2" s="1719"/>
      <c r="J2" s="1719"/>
      <c r="K2" s="1719"/>
      <c r="L2" s="1719"/>
      <c r="M2" s="1720"/>
      <c r="N2" s="1700" t="s">
        <v>656</v>
      </c>
      <c r="O2" s="1701"/>
      <c r="P2" s="1701"/>
      <c r="Q2" s="1701"/>
      <c r="R2" s="1701"/>
      <c r="S2" s="1701"/>
      <c r="T2" s="1702"/>
      <c r="U2" s="1703" t="s">
        <v>683</v>
      </c>
      <c r="V2" s="1703" t="s">
        <v>654</v>
      </c>
    </row>
    <row r="3" spans="1:22" ht="120.75" customHeight="1">
      <c r="A3" s="1713"/>
      <c r="B3" s="1714"/>
      <c r="C3" s="1706" t="s">
        <v>588</v>
      </c>
      <c r="D3" s="1717" t="s">
        <v>744</v>
      </c>
      <c r="E3" s="1717" t="s">
        <v>674</v>
      </c>
      <c r="F3" s="1706" t="s">
        <v>501</v>
      </c>
      <c r="G3" s="1706" t="s">
        <v>445</v>
      </c>
      <c r="H3" s="1706" t="s">
        <v>675</v>
      </c>
      <c r="I3" s="1104" t="s">
        <v>456</v>
      </c>
      <c r="J3" s="1706" t="s">
        <v>676</v>
      </c>
      <c r="K3" s="1706" t="s">
        <v>967</v>
      </c>
      <c r="L3" s="1706" t="s">
        <v>677</v>
      </c>
      <c r="M3" s="1717" t="s">
        <v>655</v>
      </c>
      <c r="N3" s="1709" t="s">
        <v>527</v>
      </c>
      <c r="O3" s="1278" t="s">
        <v>678</v>
      </c>
      <c r="P3" s="1106" t="s">
        <v>457</v>
      </c>
      <c r="Q3" s="1709" t="s">
        <v>679</v>
      </c>
      <c r="R3" s="1709" t="s">
        <v>967</v>
      </c>
      <c r="S3" s="1709" t="s">
        <v>680</v>
      </c>
      <c r="T3" s="1278" t="s">
        <v>681</v>
      </c>
      <c r="U3" s="1704"/>
      <c r="V3" s="1704"/>
    </row>
    <row r="4" spans="1:22" ht="22.5" customHeight="1">
      <c r="A4" s="1715"/>
      <c r="B4" s="1716"/>
      <c r="C4" s="1707"/>
      <c r="D4" s="1717"/>
      <c r="E4" s="1717"/>
      <c r="F4" s="1707"/>
      <c r="G4" s="1707"/>
      <c r="H4" s="1707"/>
      <c r="I4" s="1018">
        <v>2.5000000000000001E-3</v>
      </c>
      <c r="J4" s="1707"/>
      <c r="K4" s="1707"/>
      <c r="L4" s="1707"/>
      <c r="M4" s="1717"/>
      <c r="N4" s="1710"/>
      <c r="O4" s="1105"/>
      <c r="P4" s="1019">
        <v>2.5000000000000001E-3</v>
      </c>
      <c r="Q4" s="1710"/>
      <c r="R4" s="1710"/>
      <c r="S4" s="1710"/>
      <c r="T4" s="1105"/>
      <c r="U4" s="1705"/>
      <c r="V4" s="1705"/>
    </row>
    <row r="5" spans="1:22" ht="14.25" customHeight="1">
      <c r="A5" s="950"/>
      <c r="B5" s="951"/>
      <c r="C5" s="952">
        <v>1</v>
      </c>
      <c r="D5" s="952">
        <f t="shared" ref="D5" si="0">C5+1</f>
        <v>2</v>
      </c>
      <c r="E5" s="952">
        <f>D5+1</f>
        <v>3</v>
      </c>
      <c r="F5" s="952">
        <f t="shared" ref="F5:V5" si="1">E5+1</f>
        <v>4</v>
      </c>
      <c r="G5" s="952">
        <f t="shared" si="1"/>
        <v>5</v>
      </c>
      <c r="H5" s="952">
        <f t="shared" si="1"/>
        <v>6</v>
      </c>
      <c r="I5" s="952">
        <f t="shared" si="1"/>
        <v>7</v>
      </c>
      <c r="J5" s="952">
        <f t="shared" si="1"/>
        <v>8</v>
      </c>
      <c r="K5" s="952">
        <f t="shared" si="1"/>
        <v>9</v>
      </c>
      <c r="L5" s="952">
        <f t="shared" si="1"/>
        <v>10</v>
      </c>
      <c r="M5" s="952">
        <f t="shared" si="1"/>
        <v>11</v>
      </c>
      <c r="N5" s="952">
        <f t="shared" si="1"/>
        <v>12</v>
      </c>
      <c r="O5" s="952">
        <f t="shared" si="1"/>
        <v>13</v>
      </c>
      <c r="P5" s="952">
        <f t="shared" si="1"/>
        <v>14</v>
      </c>
      <c r="Q5" s="952">
        <f t="shared" si="1"/>
        <v>15</v>
      </c>
      <c r="R5" s="952">
        <f t="shared" si="1"/>
        <v>16</v>
      </c>
      <c r="S5" s="952">
        <f t="shared" si="1"/>
        <v>17</v>
      </c>
      <c r="T5" s="952">
        <f t="shared" si="1"/>
        <v>18</v>
      </c>
      <c r="U5" s="952">
        <f t="shared" si="1"/>
        <v>19</v>
      </c>
      <c r="V5" s="952">
        <f t="shared" si="1"/>
        <v>20</v>
      </c>
    </row>
    <row r="6" spans="1:22" ht="27" customHeight="1">
      <c r="A6" s="979"/>
      <c r="B6" s="980"/>
      <c r="C6" s="980"/>
      <c r="D6" s="980"/>
      <c r="E6" s="980"/>
      <c r="F6" s="980"/>
      <c r="G6" s="980"/>
      <c r="H6" s="980"/>
      <c r="I6" s="980"/>
      <c r="J6" s="980"/>
      <c r="K6" s="980"/>
      <c r="L6" s="980"/>
      <c r="M6" s="980"/>
      <c r="N6" s="980"/>
      <c r="O6" s="980"/>
      <c r="P6" s="980"/>
      <c r="Q6" s="980"/>
      <c r="R6" s="980"/>
      <c r="S6" s="980"/>
      <c r="T6" s="980"/>
      <c r="U6" s="980"/>
      <c r="V6" s="980"/>
    </row>
    <row r="7" spans="1:22">
      <c r="A7" s="953">
        <v>1</v>
      </c>
      <c r="B7" s="954" t="s">
        <v>93</v>
      </c>
      <c r="C7" s="955">
        <f>'2-1-13 SIS'!P7</f>
        <v>0</v>
      </c>
      <c r="D7" s="956">
        <f>'Table 3 Levels 1&amp;2'!AL8</f>
        <v>4597.5882673899441</v>
      </c>
      <c r="E7" s="1010">
        <f>C7*D7</f>
        <v>0</v>
      </c>
      <c r="F7" s="1010">
        <f>'Table 4 Level 3'!P6</f>
        <v>777.48</v>
      </c>
      <c r="G7" s="1010">
        <f>C7*F7</f>
        <v>0</v>
      </c>
      <c r="H7" s="957">
        <f>E7+G7</f>
        <v>0</v>
      </c>
      <c r="I7" s="1020">
        <f>-(0.25%*H7)</f>
        <v>0</v>
      </c>
      <c r="J7" s="957">
        <f>SUM(H7:I7)</f>
        <v>0</v>
      </c>
      <c r="K7" s="957">
        <f>'[16]Oct midyear JS Clark Academy'!K7</f>
        <v>0</v>
      </c>
      <c r="L7" s="957">
        <f>SUM(J7:K7)</f>
        <v>0</v>
      </c>
      <c r="M7" s="957">
        <f>L7/12</f>
        <v>0</v>
      </c>
      <c r="N7" s="981">
        <f>'Table 5C1A-Madison Prep'!N7</f>
        <v>2168</v>
      </c>
      <c r="O7" s="958">
        <f>C7*N7</f>
        <v>0</v>
      </c>
      <c r="P7" s="1028">
        <f>-(0.25%*O7)</f>
        <v>0</v>
      </c>
      <c r="Q7" s="958">
        <f>SUM(O7:P7)</f>
        <v>0</v>
      </c>
      <c r="R7" s="958">
        <f>'[16]Oct midyear JS Clark Academy'!P7</f>
        <v>0</v>
      </c>
      <c r="S7" s="958">
        <f>SUM(Q7:R7)</f>
        <v>0</v>
      </c>
      <c r="T7" s="958">
        <f>S7/12</f>
        <v>0</v>
      </c>
      <c r="U7" s="959">
        <f>L7+S7</f>
        <v>0</v>
      </c>
      <c r="V7" s="959">
        <f>M7+T7</f>
        <v>0</v>
      </c>
    </row>
    <row r="8" spans="1:22">
      <c r="A8" s="960">
        <v>2</v>
      </c>
      <c r="B8" s="961" t="s">
        <v>94</v>
      </c>
      <c r="C8" s="1078">
        <f>'2-1-13 SIS'!P8</f>
        <v>0</v>
      </c>
      <c r="D8" s="962">
        <f>'Table 3 Levels 1&amp;2'!AL9</f>
        <v>6182.4313545138375</v>
      </c>
      <c r="E8" s="1011">
        <f t="shared" ref="E8:E71" si="2">C8*D8</f>
        <v>0</v>
      </c>
      <c r="F8" s="1011">
        <f>'Table 4 Level 3'!P7</f>
        <v>842.32</v>
      </c>
      <c r="G8" s="1011">
        <f t="shared" ref="G8:G71" si="3">C8*F8</f>
        <v>0</v>
      </c>
      <c r="H8" s="982">
        <f t="shared" ref="H8:H71" si="4">E8+G8</f>
        <v>0</v>
      </c>
      <c r="I8" s="1021">
        <f t="shared" ref="I8:I71" si="5">-(0.25%*H8)</f>
        <v>0</v>
      </c>
      <c r="J8" s="982">
        <f t="shared" ref="J8:J71" si="6">SUM(H8:I8)</f>
        <v>0</v>
      </c>
      <c r="K8" s="982">
        <f>'[16]Oct midyear JS Clark Academy'!K8</f>
        <v>0</v>
      </c>
      <c r="L8" s="982">
        <f t="shared" ref="L8:L71" si="7">SUM(J8:K8)</f>
        <v>0</v>
      </c>
      <c r="M8" s="982">
        <f t="shared" ref="M8:M71" si="8">L8/12</f>
        <v>0</v>
      </c>
      <c r="N8" s="981">
        <f>'Table 5C1A-Madison Prep'!N8</f>
        <v>2627</v>
      </c>
      <c r="O8" s="983">
        <f t="shared" ref="O8:O71" si="9">C8*N8</f>
        <v>0</v>
      </c>
      <c r="P8" s="1029">
        <f t="shared" ref="P8:P71" si="10">-(0.25%*O8)</f>
        <v>0</v>
      </c>
      <c r="Q8" s="983">
        <f t="shared" ref="Q8:Q71" si="11">SUM(O8:P8)</f>
        <v>0</v>
      </c>
      <c r="R8" s="983">
        <f>'[16]Oct midyear JS Clark Academy'!P8</f>
        <v>0</v>
      </c>
      <c r="S8" s="983">
        <f t="shared" ref="S8:S71" si="12">SUM(Q8:R8)</f>
        <v>0</v>
      </c>
      <c r="T8" s="983">
        <f t="shared" ref="T8:T71" si="13">S8/12</f>
        <v>0</v>
      </c>
      <c r="U8" s="984">
        <f t="shared" ref="U8:V71" si="14">L8+S8</f>
        <v>0</v>
      </c>
      <c r="V8" s="984">
        <f t="shared" si="14"/>
        <v>0</v>
      </c>
    </row>
    <row r="9" spans="1:22">
      <c r="A9" s="960">
        <v>3</v>
      </c>
      <c r="B9" s="961" t="s">
        <v>95</v>
      </c>
      <c r="C9" s="1078">
        <f>'2-1-13 SIS'!P9</f>
        <v>0</v>
      </c>
      <c r="D9" s="962">
        <f>'Table 3 Levels 1&amp;2'!AL10</f>
        <v>4206.710737685361</v>
      </c>
      <c r="E9" s="1011">
        <f t="shared" si="2"/>
        <v>0</v>
      </c>
      <c r="F9" s="1011">
        <f>'Table 4 Level 3'!P8</f>
        <v>596.84</v>
      </c>
      <c r="G9" s="1011">
        <f t="shared" si="3"/>
        <v>0</v>
      </c>
      <c r="H9" s="982">
        <f t="shared" si="4"/>
        <v>0</v>
      </c>
      <c r="I9" s="1021">
        <f t="shared" si="5"/>
        <v>0</v>
      </c>
      <c r="J9" s="982">
        <f t="shared" si="6"/>
        <v>0</v>
      </c>
      <c r="K9" s="982">
        <f>'[16]Oct midyear JS Clark Academy'!K9</f>
        <v>0</v>
      </c>
      <c r="L9" s="982">
        <f t="shared" si="7"/>
        <v>0</v>
      </c>
      <c r="M9" s="982">
        <f t="shared" si="8"/>
        <v>0</v>
      </c>
      <c r="N9" s="981">
        <f>'Table 5C1A-Madison Prep'!N9</f>
        <v>5431</v>
      </c>
      <c r="O9" s="983">
        <f t="shared" si="9"/>
        <v>0</v>
      </c>
      <c r="P9" s="1029">
        <f t="shared" si="10"/>
        <v>0</v>
      </c>
      <c r="Q9" s="983">
        <f t="shared" si="11"/>
        <v>0</v>
      </c>
      <c r="R9" s="983">
        <f>'[16]Oct midyear JS Clark Academy'!P9</f>
        <v>0</v>
      </c>
      <c r="S9" s="983">
        <f t="shared" si="12"/>
        <v>0</v>
      </c>
      <c r="T9" s="983">
        <f t="shared" si="13"/>
        <v>0</v>
      </c>
      <c r="U9" s="984">
        <f t="shared" si="14"/>
        <v>0</v>
      </c>
      <c r="V9" s="984">
        <f t="shared" si="14"/>
        <v>0</v>
      </c>
    </row>
    <row r="10" spans="1:22">
      <c r="A10" s="960">
        <v>4</v>
      </c>
      <c r="B10" s="961" t="s">
        <v>96</v>
      </c>
      <c r="C10" s="1078">
        <f>'2-1-13 SIS'!P10</f>
        <v>0</v>
      </c>
      <c r="D10" s="962">
        <f>'Table 3 Levels 1&amp;2'!AL11</f>
        <v>5987.4993535453223</v>
      </c>
      <c r="E10" s="1011">
        <f t="shared" si="2"/>
        <v>0</v>
      </c>
      <c r="F10" s="1011">
        <f>'Table 4 Level 3'!P9</f>
        <v>585.76</v>
      </c>
      <c r="G10" s="1011">
        <f t="shared" si="3"/>
        <v>0</v>
      </c>
      <c r="H10" s="982">
        <f t="shared" si="4"/>
        <v>0</v>
      </c>
      <c r="I10" s="1021">
        <f t="shared" si="5"/>
        <v>0</v>
      </c>
      <c r="J10" s="982">
        <f t="shared" si="6"/>
        <v>0</v>
      </c>
      <c r="K10" s="982">
        <f>'[16]Oct midyear JS Clark Academy'!K10</f>
        <v>0</v>
      </c>
      <c r="L10" s="982">
        <f t="shared" si="7"/>
        <v>0</v>
      </c>
      <c r="M10" s="982">
        <f t="shared" si="8"/>
        <v>0</v>
      </c>
      <c r="N10" s="981">
        <f>'Table 5C1A-Madison Prep'!N10</f>
        <v>3029</v>
      </c>
      <c r="O10" s="983">
        <f t="shared" si="9"/>
        <v>0</v>
      </c>
      <c r="P10" s="1029">
        <f t="shared" si="10"/>
        <v>0</v>
      </c>
      <c r="Q10" s="983">
        <f t="shared" si="11"/>
        <v>0</v>
      </c>
      <c r="R10" s="983">
        <f>'[16]Oct midyear JS Clark Academy'!P10</f>
        <v>0</v>
      </c>
      <c r="S10" s="983">
        <f t="shared" si="12"/>
        <v>0</v>
      </c>
      <c r="T10" s="983">
        <f t="shared" si="13"/>
        <v>0</v>
      </c>
      <c r="U10" s="984">
        <f t="shared" si="14"/>
        <v>0</v>
      </c>
      <c r="V10" s="984">
        <f t="shared" si="14"/>
        <v>0</v>
      </c>
    </row>
    <row r="11" spans="1:22">
      <c r="A11" s="963">
        <v>5</v>
      </c>
      <c r="B11" s="964" t="s">
        <v>97</v>
      </c>
      <c r="C11" s="1079">
        <f>'2-1-13 SIS'!P11</f>
        <v>0</v>
      </c>
      <c r="D11" s="965">
        <f>'Table 3 Levels 1&amp;2'!AL12</f>
        <v>4986.8166927080074</v>
      </c>
      <c r="E11" s="1012">
        <f t="shared" si="2"/>
        <v>0</v>
      </c>
      <c r="F11" s="1012">
        <f>'Table 4 Level 3'!P10</f>
        <v>555.91</v>
      </c>
      <c r="G11" s="1012">
        <f t="shared" si="3"/>
        <v>0</v>
      </c>
      <c r="H11" s="985">
        <f t="shared" si="4"/>
        <v>0</v>
      </c>
      <c r="I11" s="1022">
        <f t="shared" si="5"/>
        <v>0</v>
      </c>
      <c r="J11" s="985">
        <f t="shared" si="6"/>
        <v>0</v>
      </c>
      <c r="K11" s="985">
        <f>'[16]Oct midyear JS Clark Academy'!K11</f>
        <v>0</v>
      </c>
      <c r="L11" s="985">
        <f t="shared" si="7"/>
        <v>0</v>
      </c>
      <c r="M11" s="985">
        <f t="shared" si="8"/>
        <v>0</v>
      </c>
      <c r="N11" s="986">
        <f>'Table 5C1A-Madison Prep'!N11</f>
        <v>1751</v>
      </c>
      <c r="O11" s="987">
        <f t="shared" si="9"/>
        <v>0</v>
      </c>
      <c r="P11" s="1030">
        <f t="shared" si="10"/>
        <v>0</v>
      </c>
      <c r="Q11" s="987">
        <f t="shared" si="11"/>
        <v>0</v>
      </c>
      <c r="R11" s="987">
        <f>'[16]Oct midyear JS Clark Academy'!P11</f>
        <v>0</v>
      </c>
      <c r="S11" s="987">
        <f t="shared" si="12"/>
        <v>0</v>
      </c>
      <c r="T11" s="987">
        <f t="shared" si="13"/>
        <v>0</v>
      </c>
      <c r="U11" s="988">
        <f t="shared" si="14"/>
        <v>0</v>
      </c>
      <c r="V11" s="988">
        <f t="shared" si="14"/>
        <v>0</v>
      </c>
    </row>
    <row r="12" spans="1:22">
      <c r="A12" s="953">
        <v>6</v>
      </c>
      <c r="B12" s="954" t="s">
        <v>98</v>
      </c>
      <c r="C12" s="1080">
        <f>'2-1-13 SIS'!P12</f>
        <v>0</v>
      </c>
      <c r="D12" s="956">
        <f>'Table 3 Levels 1&amp;2'!AL13</f>
        <v>5412.7883404260592</v>
      </c>
      <c r="E12" s="1010">
        <f t="shared" si="2"/>
        <v>0</v>
      </c>
      <c r="F12" s="1010">
        <f>'Table 4 Level 3'!P11</f>
        <v>545.4799999999999</v>
      </c>
      <c r="G12" s="1010">
        <f t="shared" si="3"/>
        <v>0</v>
      </c>
      <c r="H12" s="957">
        <f t="shared" si="4"/>
        <v>0</v>
      </c>
      <c r="I12" s="1020">
        <f t="shared" si="5"/>
        <v>0</v>
      </c>
      <c r="J12" s="957">
        <f t="shared" si="6"/>
        <v>0</v>
      </c>
      <c r="K12" s="957">
        <f>'[16]Oct midyear JS Clark Academy'!K12</f>
        <v>0</v>
      </c>
      <c r="L12" s="957">
        <f t="shared" si="7"/>
        <v>0</v>
      </c>
      <c r="M12" s="957">
        <f t="shared" si="8"/>
        <v>0</v>
      </c>
      <c r="N12" s="981">
        <f>'Table 5C1A-Madison Prep'!N12</f>
        <v>3735</v>
      </c>
      <c r="O12" s="958">
        <f t="shared" si="9"/>
        <v>0</v>
      </c>
      <c r="P12" s="1028">
        <f t="shared" si="10"/>
        <v>0</v>
      </c>
      <c r="Q12" s="958">
        <f t="shared" si="11"/>
        <v>0</v>
      </c>
      <c r="R12" s="958">
        <f>'[16]Oct midyear JS Clark Academy'!P12</f>
        <v>0</v>
      </c>
      <c r="S12" s="958">
        <f t="shared" si="12"/>
        <v>0</v>
      </c>
      <c r="T12" s="958">
        <f t="shared" si="13"/>
        <v>0</v>
      </c>
      <c r="U12" s="959">
        <f t="shared" si="14"/>
        <v>0</v>
      </c>
      <c r="V12" s="959">
        <f t="shared" si="14"/>
        <v>0</v>
      </c>
    </row>
    <row r="13" spans="1:22">
      <c r="A13" s="960">
        <v>7</v>
      </c>
      <c r="B13" s="961" t="s">
        <v>99</v>
      </c>
      <c r="C13" s="1078">
        <f>'2-1-13 SIS'!P13</f>
        <v>0</v>
      </c>
      <c r="D13" s="962">
        <f>'Table 3 Levels 1&amp;2'!AL14</f>
        <v>1766.1023604176123</v>
      </c>
      <c r="E13" s="1011">
        <f t="shared" si="2"/>
        <v>0</v>
      </c>
      <c r="F13" s="1011">
        <f>'Table 4 Level 3'!P12</f>
        <v>756.91999999999985</v>
      </c>
      <c r="G13" s="1011">
        <f t="shared" si="3"/>
        <v>0</v>
      </c>
      <c r="H13" s="982">
        <f t="shared" si="4"/>
        <v>0</v>
      </c>
      <c r="I13" s="1021">
        <f t="shared" si="5"/>
        <v>0</v>
      </c>
      <c r="J13" s="982">
        <f t="shared" si="6"/>
        <v>0</v>
      </c>
      <c r="K13" s="982">
        <f>'[16]Oct midyear JS Clark Academy'!K13</f>
        <v>0</v>
      </c>
      <c r="L13" s="982">
        <f t="shared" si="7"/>
        <v>0</v>
      </c>
      <c r="M13" s="982">
        <f t="shared" si="8"/>
        <v>0</v>
      </c>
      <c r="N13" s="981">
        <f>'Table 5C1A-Madison Prep'!N13</f>
        <v>11329</v>
      </c>
      <c r="O13" s="983">
        <f t="shared" si="9"/>
        <v>0</v>
      </c>
      <c r="P13" s="1029">
        <f t="shared" si="10"/>
        <v>0</v>
      </c>
      <c r="Q13" s="983">
        <f t="shared" si="11"/>
        <v>0</v>
      </c>
      <c r="R13" s="983">
        <f>'[16]Oct midyear JS Clark Academy'!P13</f>
        <v>0</v>
      </c>
      <c r="S13" s="983">
        <f t="shared" si="12"/>
        <v>0</v>
      </c>
      <c r="T13" s="983">
        <f t="shared" si="13"/>
        <v>0</v>
      </c>
      <c r="U13" s="984">
        <f t="shared" si="14"/>
        <v>0</v>
      </c>
      <c r="V13" s="984">
        <f t="shared" si="14"/>
        <v>0</v>
      </c>
    </row>
    <row r="14" spans="1:22">
      <c r="A14" s="960">
        <v>8</v>
      </c>
      <c r="B14" s="961" t="s">
        <v>100</v>
      </c>
      <c r="C14" s="1078">
        <f>'2-1-13 SIS'!P14</f>
        <v>0</v>
      </c>
      <c r="D14" s="962">
        <f>'Table 3 Levels 1&amp;2'!AL15</f>
        <v>4289.5073606712331</v>
      </c>
      <c r="E14" s="1011">
        <f t="shared" si="2"/>
        <v>0</v>
      </c>
      <c r="F14" s="1011">
        <f>'Table 4 Level 3'!P13</f>
        <v>725.76</v>
      </c>
      <c r="G14" s="1011">
        <f t="shared" si="3"/>
        <v>0</v>
      </c>
      <c r="H14" s="982">
        <f t="shared" si="4"/>
        <v>0</v>
      </c>
      <c r="I14" s="1021">
        <f t="shared" si="5"/>
        <v>0</v>
      </c>
      <c r="J14" s="982">
        <f t="shared" si="6"/>
        <v>0</v>
      </c>
      <c r="K14" s="982">
        <f>'[16]Oct midyear JS Clark Academy'!K14</f>
        <v>0</v>
      </c>
      <c r="L14" s="982">
        <f t="shared" si="7"/>
        <v>0</v>
      </c>
      <c r="M14" s="982">
        <f t="shared" si="8"/>
        <v>0</v>
      </c>
      <c r="N14" s="981">
        <f>'Table 5C1A-Madison Prep'!N14</f>
        <v>3915</v>
      </c>
      <c r="O14" s="983">
        <f t="shared" si="9"/>
        <v>0</v>
      </c>
      <c r="P14" s="1029">
        <f t="shared" si="10"/>
        <v>0</v>
      </c>
      <c r="Q14" s="983">
        <f t="shared" si="11"/>
        <v>0</v>
      </c>
      <c r="R14" s="983">
        <f>'[16]Oct midyear JS Clark Academy'!P14</f>
        <v>0</v>
      </c>
      <c r="S14" s="983">
        <f t="shared" si="12"/>
        <v>0</v>
      </c>
      <c r="T14" s="983">
        <f t="shared" si="13"/>
        <v>0</v>
      </c>
      <c r="U14" s="984">
        <f t="shared" si="14"/>
        <v>0</v>
      </c>
      <c r="V14" s="984">
        <f t="shared" si="14"/>
        <v>0</v>
      </c>
    </row>
    <row r="15" spans="1:22">
      <c r="A15" s="960">
        <v>9</v>
      </c>
      <c r="B15" s="961" t="s">
        <v>101</v>
      </c>
      <c r="C15" s="1078">
        <f>'2-1-13 SIS'!P15</f>
        <v>0</v>
      </c>
      <c r="D15" s="962">
        <f>'Table 3 Levels 1&amp;2'!AL16</f>
        <v>4395.6154516889328</v>
      </c>
      <c r="E15" s="1011">
        <f t="shared" si="2"/>
        <v>0</v>
      </c>
      <c r="F15" s="1011">
        <f>'Table 4 Level 3'!P14</f>
        <v>744.76</v>
      </c>
      <c r="G15" s="1011">
        <f t="shared" si="3"/>
        <v>0</v>
      </c>
      <c r="H15" s="982">
        <f t="shared" si="4"/>
        <v>0</v>
      </c>
      <c r="I15" s="1021">
        <f t="shared" si="5"/>
        <v>0</v>
      </c>
      <c r="J15" s="982">
        <f t="shared" si="6"/>
        <v>0</v>
      </c>
      <c r="K15" s="982">
        <f>'[16]Oct midyear JS Clark Academy'!K15</f>
        <v>0</v>
      </c>
      <c r="L15" s="982">
        <f t="shared" si="7"/>
        <v>0</v>
      </c>
      <c r="M15" s="982">
        <f t="shared" si="8"/>
        <v>0</v>
      </c>
      <c r="N15" s="981">
        <f>'Table 5C1A-Madison Prep'!N15</f>
        <v>4627</v>
      </c>
      <c r="O15" s="983">
        <f t="shared" si="9"/>
        <v>0</v>
      </c>
      <c r="P15" s="1029">
        <f t="shared" si="10"/>
        <v>0</v>
      </c>
      <c r="Q15" s="983">
        <f t="shared" si="11"/>
        <v>0</v>
      </c>
      <c r="R15" s="983">
        <f>'[16]Oct midyear JS Clark Academy'!P15</f>
        <v>0</v>
      </c>
      <c r="S15" s="983">
        <f t="shared" si="12"/>
        <v>0</v>
      </c>
      <c r="T15" s="983">
        <f t="shared" si="13"/>
        <v>0</v>
      </c>
      <c r="U15" s="984">
        <f t="shared" si="14"/>
        <v>0</v>
      </c>
      <c r="V15" s="984">
        <f t="shared" si="14"/>
        <v>0</v>
      </c>
    </row>
    <row r="16" spans="1:22">
      <c r="A16" s="963">
        <v>10</v>
      </c>
      <c r="B16" s="964" t="s">
        <v>102</v>
      </c>
      <c r="C16" s="1079">
        <f>'2-1-13 SIS'!P16</f>
        <v>0</v>
      </c>
      <c r="D16" s="965">
        <f>'Table 3 Levels 1&amp;2'!AL17</f>
        <v>4253.5980618992444</v>
      </c>
      <c r="E16" s="1012">
        <f t="shared" si="2"/>
        <v>0</v>
      </c>
      <c r="F16" s="1012">
        <f>'Table 4 Level 3'!P15</f>
        <v>608.04000000000008</v>
      </c>
      <c r="G16" s="1012">
        <f t="shared" si="3"/>
        <v>0</v>
      </c>
      <c r="H16" s="985">
        <f t="shared" si="4"/>
        <v>0</v>
      </c>
      <c r="I16" s="1022">
        <f t="shared" si="5"/>
        <v>0</v>
      </c>
      <c r="J16" s="985">
        <f t="shared" si="6"/>
        <v>0</v>
      </c>
      <c r="K16" s="985">
        <f>'[16]Oct midyear JS Clark Academy'!K16</f>
        <v>0</v>
      </c>
      <c r="L16" s="985">
        <f t="shared" si="7"/>
        <v>0</v>
      </c>
      <c r="M16" s="985">
        <f t="shared" si="8"/>
        <v>0</v>
      </c>
      <c r="N16" s="986">
        <f>'Table 5C1A-Madison Prep'!N16</f>
        <v>4489</v>
      </c>
      <c r="O16" s="987">
        <f t="shared" si="9"/>
        <v>0</v>
      </c>
      <c r="P16" s="1030">
        <f t="shared" si="10"/>
        <v>0</v>
      </c>
      <c r="Q16" s="987">
        <f t="shared" si="11"/>
        <v>0</v>
      </c>
      <c r="R16" s="987">
        <f>'[16]Oct midyear JS Clark Academy'!P16</f>
        <v>0</v>
      </c>
      <c r="S16" s="987">
        <f t="shared" si="12"/>
        <v>0</v>
      </c>
      <c r="T16" s="987">
        <f t="shared" si="13"/>
        <v>0</v>
      </c>
      <c r="U16" s="988">
        <f t="shared" si="14"/>
        <v>0</v>
      </c>
      <c r="V16" s="988">
        <f t="shared" si="14"/>
        <v>0</v>
      </c>
    </row>
    <row r="17" spans="1:22">
      <c r="A17" s="953">
        <v>11</v>
      </c>
      <c r="B17" s="954" t="s">
        <v>103</v>
      </c>
      <c r="C17" s="1080">
        <f>'2-1-13 SIS'!P17</f>
        <v>0</v>
      </c>
      <c r="D17" s="956">
        <f>'Table 3 Levels 1&amp;2'!AL18</f>
        <v>6852.9138435383502</v>
      </c>
      <c r="E17" s="1010">
        <f t="shared" si="2"/>
        <v>0</v>
      </c>
      <c r="F17" s="1010">
        <f>'Table 4 Level 3'!P16</f>
        <v>706.55</v>
      </c>
      <c r="G17" s="1010">
        <f t="shared" si="3"/>
        <v>0</v>
      </c>
      <c r="H17" s="957">
        <f t="shared" si="4"/>
        <v>0</v>
      </c>
      <c r="I17" s="1020">
        <f t="shared" si="5"/>
        <v>0</v>
      </c>
      <c r="J17" s="957">
        <f t="shared" si="6"/>
        <v>0</v>
      </c>
      <c r="K17" s="957">
        <f>'[16]Oct midyear JS Clark Academy'!K17</f>
        <v>0</v>
      </c>
      <c r="L17" s="957">
        <f t="shared" si="7"/>
        <v>0</v>
      </c>
      <c r="M17" s="957">
        <f t="shared" si="8"/>
        <v>0</v>
      </c>
      <c r="N17" s="981">
        <f>'Table 5C1A-Madison Prep'!N17</f>
        <v>3654</v>
      </c>
      <c r="O17" s="958">
        <f t="shared" si="9"/>
        <v>0</v>
      </c>
      <c r="P17" s="1028">
        <f t="shared" si="10"/>
        <v>0</v>
      </c>
      <c r="Q17" s="958">
        <f t="shared" si="11"/>
        <v>0</v>
      </c>
      <c r="R17" s="958">
        <f>'[16]Oct midyear JS Clark Academy'!P17</f>
        <v>0</v>
      </c>
      <c r="S17" s="958">
        <f t="shared" si="12"/>
        <v>0</v>
      </c>
      <c r="T17" s="958">
        <f t="shared" si="13"/>
        <v>0</v>
      </c>
      <c r="U17" s="959">
        <f t="shared" si="14"/>
        <v>0</v>
      </c>
      <c r="V17" s="959">
        <f t="shared" si="14"/>
        <v>0</v>
      </c>
    </row>
    <row r="18" spans="1:22">
      <c r="A18" s="960">
        <v>12</v>
      </c>
      <c r="B18" s="961" t="s">
        <v>104</v>
      </c>
      <c r="C18" s="1078">
        <f>'2-1-13 SIS'!P18</f>
        <v>0</v>
      </c>
      <c r="D18" s="962">
        <f>'Table 3 Levels 1&amp;2'!AL19</f>
        <v>1733.9056059356967</v>
      </c>
      <c r="E18" s="1011">
        <f t="shared" si="2"/>
        <v>0</v>
      </c>
      <c r="F18" s="1011">
        <f>'Table 4 Level 3'!P17</f>
        <v>1063.31</v>
      </c>
      <c r="G18" s="1011">
        <f t="shared" si="3"/>
        <v>0</v>
      </c>
      <c r="H18" s="982">
        <f t="shared" si="4"/>
        <v>0</v>
      </c>
      <c r="I18" s="1021">
        <f t="shared" si="5"/>
        <v>0</v>
      </c>
      <c r="J18" s="982">
        <f t="shared" si="6"/>
        <v>0</v>
      </c>
      <c r="K18" s="982">
        <f>'[16]Oct midyear JS Clark Academy'!K18</f>
        <v>0</v>
      </c>
      <c r="L18" s="982">
        <f t="shared" si="7"/>
        <v>0</v>
      </c>
      <c r="M18" s="982">
        <f t="shared" si="8"/>
        <v>0</v>
      </c>
      <c r="N18" s="981">
        <f>'Table 5C1A-Madison Prep'!N18</f>
        <v>13767</v>
      </c>
      <c r="O18" s="983">
        <f t="shared" si="9"/>
        <v>0</v>
      </c>
      <c r="P18" s="1029">
        <f t="shared" si="10"/>
        <v>0</v>
      </c>
      <c r="Q18" s="983">
        <f t="shared" si="11"/>
        <v>0</v>
      </c>
      <c r="R18" s="983">
        <f>'[16]Oct midyear JS Clark Academy'!P18</f>
        <v>0</v>
      </c>
      <c r="S18" s="983">
        <f t="shared" si="12"/>
        <v>0</v>
      </c>
      <c r="T18" s="983">
        <f t="shared" si="13"/>
        <v>0</v>
      </c>
      <c r="U18" s="984">
        <f t="shared" si="14"/>
        <v>0</v>
      </c>
      <c r="V18" s="984">
        <f t="shared" si="14"/>
        <v>0</v>
      </c>
    </row>
    <row r="19" spans="1:22">
      <c r="A19" s="960">
        <v>13</v>
      </c>
      <c r="B19" s="961" t="s">
        <v>105</v>
      </c>
      <c r="C19" s="1078">
        <f>'2-1-13 SIS'!P19</f>
        <v>0</v>
      </c>
      <c r="D19" s="962">
        <f>'Table 3 Levels 1&amp;2'!AL20</f>
        <v>6254.1238637730876</v>
      </c>
      <c r="E19" s="1011">
        <f t="shared" si="2"/>
        <v>0</v>
      </c>
      <c r="F19" s="1011">
        <f>'Table 4 Level 3'!P18</f>
        <v>749.43000000000006</v>
      </c>
      <c r="G19" s="1011">
        <f t="shared" si="3"/>
        <v>0</v>
      </c>
      <c r="H19" s="982">
        <f t="shared" si="4"/>
        <v>0</v>
      </c>
      <c r="I19" s="1021">
        <f t="shared" si="5"/>
        <v>0</v>
      </c>
      <c r="J19" s="982">
        <f t="shared" si="6"/>
        <v>0</v>
      </c>
      <c r="K19" s="982">
        <f>'[16]Oct midyear JS Clark Academy'!K19</f>
        <v>0</v>
      </c>
      <c r="L19" s="982">
        <f t="shared" si="7"/>
        <v>0</v>
      </c>
      <c r="M19" s="982">
        <f t="shared" si="8"/>
        <v>0</v>
      </c>
      <c r="N19" s="981">
        <f>'Table 5C1A-Madison Prep'!N19</f>
        <v>2525</v>
      </c>
      <c r="O19" s="983">
        <f t="shared" si="9"/>
        <v>0</v>
      </c>
      <c r="P19" s="1029">
        <f t="shared" si="10"/>
        <v>0</v>
      </c>
      <c r="Q19" s="983">
        <f t="shared" si="11"/>
        <v>0</v>
      </c>
      <c r="R19" s="983">
        <f>'[16]Oct midyear JS Clark Academy'!P19</f>
        <v>0</v>
      </c>
      <c r="S19" s="983">
        <f t="shared" si="12"/>
        <v>0</v>
      </c>
      <c r="T19" s="983">
        <f t="shared" si="13"/>
        <v>0</v>
      </c>
      <c r="U19" s="984">
        <f t="shared" si="14"/>
        <v>0</v>
      </c>
      <c r="V19" s="984">
        <f t="shared" si="14"/>
        <v>0</v>
      </c>
    </row>
    <row r="20" spans="1:22">
      <c r="A20" s="960">
        <v>14</v>
      </c>
      <c r="B20" s="961" t="s">
        <v>106</v>
      </c>
      <c r="C20" s="1078">
        <f>'2-1-13 SIS'!P20</f>
        <v>0</v>
      </c>
      <c r="D20" s="962">
        <f>'Table 3 Levels 1&amp;2'!AL21</f>
        <v>5377.9187438545459</v>
      </c>
      <c r="E20" s="1011">
        <f t="shared" si="2"/>
        <v>0</v>
      </c>
      <c r="F20" s="1011">
        <f>'Table 4 Level 3'!P19</f>
        <v>809.9799999999999</v>
      </c>
      <c r="G20" s="1011">
        <f t="shared" si="3"/>
        <v>0</v>
      </c>
      <c r="H20" s="982">
        <f t="shared" si="4"/>
        <v>0</v>
      </c>
      <c r="I20" s="1021">
        <f t="shared" si="5"/>
        <v>0</v>
      </c>
      <c r="J20" s="982">
        <f t="shared" si="6"/>
        <v>0</v>
      </c>
      <c r="K20" s="982">
        <f>'[16]Oct midyear JS Clark Academy'!K20</f>
        <v>0</v>
      </c>
      <c r="L20" s="982">
        <f t="shared" si="7"/>
        <v>0</v>
      </c>
      <c r="M20" s="982">
        <f t="shared" si="8"/>
        <v>0</v>
      </c>
      <c r="N20" s="981">
        <f>'Table 5C1A-Madison Prep'!N20</f>
        <v>3988</v>
      </c>
      <c r="O20" s="983">
        <f t="shared" si="9"/>
        <v>0</v>
      </c>
      <c r="P20" s="1029">
        <f t="shared" si="10"/>
        <v>0</v>
      </c>
      <c r="Q20" s="983">
        <f t="shared" si="11"/>
        <v>0</v>
      </c>
      <c r="R20" s="983">
        <f>'[16]Oct midyear JS Clark Academy'!P20</f>
        <v>0</v>
      </c>
      <c r="S20" s="983">
        <f t="shared" si="12"/>
        <v>0</v>
      </c>
      <c r="T20" s="983">
        <f t="shared" si="13"/>
        <v>0</v>
      </c>
      <c r="U20" s="984">
        <f t="shared" si="14"/>
        <v>0</v>
      </c>
      <c r="V20" s="984">
        <f t="shared" si="14"/>
        <v>0</v>
      </c>
    </row>
    <row r="21" spans="1:22">
      <c r="A21" s="963">
        <v>15</v>
      </c>
      <c r="B21" s="964" t="s">
        <v>107</v>
      </c>
      <c r="C21" s="1079">
        <f>'2-1-13 SIS'!P21</f>
        <v>0</v>
      </c>
      <c r="D21" s="965">
        <f>'Table 3 Levels 1&amp;2'!AL22</f>
        <v>5527.7651197617861</v>
      </c>
      <c r="E21" s="1012">
        <f t="shared" si="2"/>
        <v>0</v>
      </c>
      <c r="F21" s="1012">
        <f>'Table 4 Level 3'!P20</f>
        <v>553.79999999999995</v>
      </c>
      <c r="G21" s="1012">
        <f t="shared" si="3"/>
        <v>0</v>
      </c>
      <c r="H21" s="985">
        <f t="shared" si="4"/>
        <v>0</v>
      </c>
      <c r="I21" s="1022">
        <f t="shared" si="5"/>
        <v>0</v>
      </c>
      <c r="J21" s="985">
        <f t="shared" si="6"/>
        <v>0</v>
      </c>
      <c r="K21" s="985">
        <f>'[16]Oct midyear JS Clark Academy'!K21</f>
        <v>0</v>
      </c>
      <c r="L21" s="985">
        <f t="shared" si="7"/>
        <v>0</v>
      </c>
      <c r="M21" s="985">
        <f t="shared" si="8"/>
        <v>0</v>
      </c>
      <c r="N21" s="986">
        <f>'Table 5C1A-Madison Prep'!N21</f>
        <v>2544</v>
      </c>
      <c r="O21" s="987">
        <f t="shared" si="9"/>
        <v>0</v>
      </c>
      <c r="P21" s="1030">
        <f t="shared" si="10"/>
        <v>0</v>
      </c>
      <c r="Q21" s="987">
        <f t="shared" si="11"/>
        <v>0</v>
      </c>
      <c r="R21" s="987">
        <f>'[16]Oct midyear JS Clark Academy'!P21</f>
        <v>0</v>
      </c>
      <c r="S21" s="987">
        <f t="shared" si="12"/>
        <v>0</v>
      </c>
      <c r="T21" s="987">
        <f t="shared" si="13"/>
        <v>0</v>
      </c>
      <c r="U21" s="988">
        <f t="shared" si="14"/>
        <v>0</v>
      </c>
      <c r="V21" s="988">
        <f t="shared" si="14"/>
        <v>0</v>
      </c>
    </row>
    <row r="22" spans="1:22">
      <c r="A22" s="953">
        <v>16</v>
      </c>
      <c r="B22" s="954" t="s">
        <v>108</v>
      </c>
      <c r="C22" s="1080">
        <f>'2-1-13 SIS'!P22</f>
        <v>0</v>
      </c>
      <c r="D22" s="956">
        <f>'Table 3 Levels 1&amp;2'!AL23</f>
        <v>1530.3678845377474</v>
      </c>
      <c r="E22" s="1010">
        <f t="shared" si="2"/>
        <v>0</v>
      </c>
      <c r="F22" s="1010">
        <f>'Table 4 Level 3'!P21</f>
        <v>686.73</v>
      </c>
      <c r="G22" s="1010">
        <f t="shared" si="3"/>
        <v>0</v>
      </c>
      <c r="H22" s="957">
        <f t="shared" si="4"/>
        <v>0</v>
      </c>
      <c r="I22" s="1020">
        <f t="shared" si="5"/>
        <v>0</v>
      </c>
      <c r="J22" s="957">
        <f t="shared" si="6"/>
        <v>0</v>
      </c>
      <c r="K22" s="957">
        <f>'[16]Oct midyear JS Clark Academy'!K22</f>
        <v>0</v>
      </c>
      <c r="L22" s="957">
        <f t="shared" si="7"/>
        <v>0</v>
      </c>
      <c r="M22" s="957">
        <f t="shared" si="8"/>
        <v>0</v>
      </c>
      <c r="N22" s="981">
        <f>'Table 5C1A-Madison Prep'!N22</f>
        <v>12132</v>
      </c>
      <c r="O22" s="958">
        <f t="shared" si="9"/>
        <v>0</v>
      </c>
      <c r="P22" s="1028">
        <f t="shared" si="10"/>
        <v>0</v>
      </c>
      <c r="Q22" s="958">
        <f t="shared" si="11"/>
        <v>0</v>
      </c>
      <c r="R22" s="958">
        <f>'[16]Oct midyear JS Clark Academy'!P22</f>
        <v>0</v>
      </c>
      <c r="S22" s="958">
        <f t="shared" si="12"/>
        <v>0</v>
      </c>
      <c r="T22" s="958">
        <f t="shared" si="13"/>
        <v>0</v>
      </c>
      <c r="U22" s="959">
        <f t="shared" si="14"/>
        <v>0</v>
      </c>
      <c r="V22" s="959">
        <f t="shared" si="14"/>
        <v>0</v>
      </c>
    </row>
    <row r="23" spans="1:22">
      <c r="A23" s="960">
        <v>17</v>
      </c>
      <c r="B23" s="961" t="s">
        <v>109</v>
      </c>
      <c r="C23" s="1078">
        <f>'2-1-13 SIS'!P23</f>
        <v>0</v>
      </c>
      <c r="D23" s="962">
        <f>'Table 3 Levels 1&amp;2'!AL24</f>
        <v>3313.0666313017805</v>
      </c>
      <c r="E23" s="1011">
        <f t="shared" si="2"/>
        <v>0</v>
      </c>
      <c r="F23" s="1011">
        <f>'Table 5B2_RSD_LA'!F7</f>
        <v>801.47762416806802</v>
      </c>
      <c r="G23" s="1011">
        <f t="shared" si="3"/>
        <v>0</v>
      </c>
      <c r="H23" s="982">
        <f t="shared" si="4"/>
        <v>0</v>
      </c>
      <c r="I23" s="1021">
        <f t="shared" si="5"/>
        <v>0</v>
      </c>
      <c r="J23" s="982">
        <f t="shared" si="6"/>
        <v>0</v>
      </c>
      <c r="K23" s="982">
        <f>'[16]Oct midyear JS Clark Academy'!K23</f>
        <v>0</v>
      </c>
      <c r="L23" s="982">
        <f t="shared" si="7"/>
        <v>0</v>
      </c>
      <c r="M23" s="982">
        <f t="shared" si="8"/>
        <v>0</v>
      </c>
      <c r="N23" s="981">
        <f>'Table 5C1A-Madison Prep'!N23</f>
        <v>6764</v>
      </c>
      <c r="O23" s="983">
        <f t="shared" si="9"/>
        <v>0</v>
      </c>
      <c r="P23" s="1029">
        <f t="shared" si="10"/>
        <v>0</v>
      </c>
      <c r="Q23" s="983">
        <f t="shared" si="11"/>
        <v>0</v>
      </c>
      <c r="R23" s="983">
        <f>'[16]Oct midyear JS Clark Academy'!P23</f>
        <v>0</v>
      </c>
      <c r="S23" s="983">
        <f t="shared" si="12"/>
        <v>0</v>
      </c>
      <c r="T23" s="983">
        <f t="shared" si="13"/>
        <v>0</v>
      </c>
      <c r="U23" s="984">
        <f t="shared" si="14"/>
        <v>0</v>
      </c>
      <c r="V23" s="984">
        <f t="shared" si="14"/>
        <v>0</v>
      </c>
    </row>
    <row r="24" spans="1:22">
      <c r="A24" s="960">
        <v>18</v>
      </c>
      <c r="B24" s="961" t="s">
        <v>110</v>
      </c>
      <c r="C24" s="1078">
        <f>'2-1-13 SIS'!P24</f>
        <v>0</v>
      </c>
      <c r="D24" s="962">
        <f>'Table 3 Levels 1&amp;2'!AL25</f>
        <v>5989.1351892854573</v>
      </c>
      <c r="E24" s="1011">
        <f t="shared" si="2"/>
        <v>0</v>
      </c>
      <c r="F24" s="1011">
        <f>'Table 4 Level 3'!P23</f>
        <v>845.94999999999993</v>
      </c>
      <c r="G24" s="1011">
        <f t="shared" si="3"/>
        <v>0</v>
      </c>
      <c r="H24" s="982">
        <f t="shared" si="4"/>
        <v>0</v>
      </c>
      <c r="I24" s="1021">
        <f t="shared" si="5"/>
        <v>0</v>
      </c>
      <c r="J24" s="982">
        <f t="shared" si="6"/>
        <v>0</v>
      </c>
      <c r="K24" s="982">
        <f>'[16]Oct midyear JS Clark Academy'!K24</f>
        <v>0</v>
      </c>
      <c r="L24" s="982">
        <f t="shared" si="7"/>
        <v>0</v>
      </c>
      <c r="M24" s="982">
        <f t="shared" si="8"/>
        <v>0</v>
      </c>
      <c r="N24" s="981">
        <f>'Table 5C1A-Madison Prep'!N24</f>
        <v>2925</v>
      </c>
      <c r="O24" s="983">
        <f t="shared" si="9"/>
        <v>0</v>
      </c>
      <c r="P24" s="1029">
        <f t="shared" si="10"/>
        <v>0</v>
      </c>
      <c r="Q24" s="983">
        <f t="shared" si="11"/>
        <v>0</v>
      </c>
      <c r="R24" s="983">
        <f>'[16]Oct midyear JS Clark Academy'!P24</f>
        <v>0</v>
      </c>
      <c r="S24" s="983">
        <f t="shared" si="12"/>
        <v>0</v>
      </c>
      <c r="T24" s="983">
        <f t="shared" si="13"/>
        <v>0</v>
      </c>
      <c r="U24" s="984">
        <f t="shared" si="14"/>
        <v>0</v>
      </c>
      <c r="V24" s="984">
        <f t="shared" si="14"/>
        <v>0</v>
      </c>
    </row>
    <row r="25" spans="1:22">
      <c r="A25" s="960">
        <v>19</v>
      </c>
      <c r="B25" s="961" t="s">
        <v>111</v>
      </c>
      <c r="C25" s="1078">
        <f>'2-1-13 SIS'!P25</f>
        <v>0</v>
      </c>
      <c r="D25" s="962">
        <f>'Table 3 Levels 1&amp;2'!AL26</f>
        <v>5315.8913399708035</v>
      </c>
      <c r="E25" s="1011">
        <f t="shared" si="2"/>
        <v>0</v>
      </c>
      <c r="F25" s="1011">
        <f>'Table 4 Level 3'!P24</f>
        <v>905.43</v>
      </c>
      <c r="G25" s="1011">
        <f t="shared" si="3"/>
        <v>0</v>
      </c>
      <c r="H25" s="982">
        <f t="shared" si="4"/>
        <v>0</v>
      </c>
      <c r="I25" s="1021">
        <f t="shared" si="5"/>
        <v>0</v>
      </c>
      <c r="J25" s="982">
        <f t="shared" si="6"/>
        <v>0</v>
      </c>
      <c r="K25" s="982">
        <f>'[16]Oct midyear JS Clark Academy'!K25</f>
        <v>0</v>
      </c>
      <c r="L25" s="982">
        <f t="shared" si="7"/>
        <v>0</v>
      </c>
      <c r="M25" s="982">
        <f t="shared" si="8"/>
        <v>0</v>
      </c>
      <c r="N25" s="981">
        <f>'Table 5C1A-Madison Prep'!N25</f>
        <v>2570</v>
      </c>
      <c r="O25" s="983">
        <f t="shared" si="9"/>
        <v>0</v>
      </c>
      <c r="P25" s="1029">
        <f t="shared" si="10"/>
        <v>0</v>
      </c>
      <c r="Q25" s="983">
        <f t="shared" si="11"/>
        <v>0</v>
      </c>
      <c r="R25" s="983">
        <f>'[16]Oct midyear JS Clark Academy'!P25</f>
        <v>0</v>
      </c>
      <c r="S25" s="983">
        <f t="shared" si="12"/>
        <v>0</v>
      </c>
      <c r="T25" s="983">
        <f t="shared" si="13"/>
        <v>0</v>
      </c>
      <c r="U25" s="984">
        <f t="shared" si="14"/>
        <v>0</v>
      </c>
      <c r="V25" s="984">
        <f t="shared" si="14"/>
        <v>0</v>
      </c>
    </row>
    <row r="26" spans="1:22">
      <c r="A26" s="963">
        <v>20</v>
      </c>
      <c r="B26" s="964" t="s">
        <v>112</v>
      </c>
      <c r="C26" s="1079">
        <f>'2-1-13 SIS'!P26</f>
        <v>0</v>
      </c>
      <c r="D26" s="965">
        <f>'Table 3 Levels 1&amp;2'!AL27</f>
        <v>5420.2042919205833</v>
      </c>
      <c r="E26" s="1012">
        <f t="shared" si="2"/>
        <v>0</v>
      </c>
      <c r="F26" s="1012">
        <f>'Table 4 Level 3'!P25</f>
        <v>586.16999999999996</v>
      </c>
      <c r="G26" s="1012">
        <f t="shared" si="3"/>
        <v>0</v>
      </c>
      <c r="H26" s="985">
        <f t="shared" si="4"/>
        <v>0</v>
      </c>
      <c r="I26" s="1022">
        <f t="shared" si="5"/>
        <v>0</v>
      </c>
      <c r="J26" s="985">
        <f t="shared" si="6"/>
        <v>0</v>
      </c>
      <c r="K26" s="985">
        <f>'[16]Oct midyear JS Clark Academy'!K26</f>
        <v>0</v>
      </c>
      <c r="L26" s="985">
        <f t="shared" si="7"/>
        <v>0</v>
      </c>
      <c r="M26" s="985">
        <f t="shared" si="8"/>
        <v>0</v>
      </c>
      <c r="N26" s="986">
        <f>'Table 5C1A-Madison Prep'!N26</f>
        <v>2420</v>
      </c>
      <c r="O26" s="987">
        <f t="shared" si="9"/>
        <v>0</v>
      </c>
      <c r="P26" s="1030">
        <f t="shared" si="10"/>
        <v>0</v>
      </c>
      <c r="Q26" s="987">
        <f t="shared" si="11"/>
        <v>0</v>
      </c>
      <c r="R26" s="987">
        <f>'[16]Oct midyear JS Clark Academy'!P26</f>
        <v>0</v>
      </c>
      <c r="S26" s="987">
        <f t="shared" si="12"/>
        <v>0</v>
      </c>
      <c r="T26" s="987">
        <f t="shared" si="13"/>
        <v>0</v>
      </c>
      <c r="U26" s="988">
        <f t="shared" si="14"/>
        <v>0</v>
      </c>
      <c r="V26" s="988">
        <f t="shared" si="14"/>
        <v>0</v>
      </c>
    </row>
    <row r="27" spans="1:22">
      <c r="A27" s="953">
        <v>21</v>
      </c>
      <c r="B27" s="954" t="s">
        <v>113</v>
      </c>
      <c r="C27" s="1080">
        <f>'2-1-13 SIS'!P27</f>
        <v>0</v>
      </c>
      <c r="D27" s="956">
        <f>'Table 3 Levels 1&amp;2'!AL28</f>
        <v>5724.5404916279067</v>
      </c>
      <c r="E27" s="1010">
        <f t="shared" si="2"/>
        <v>0</v>
      </c>
      <c r="F27" s="1010">
        <f>'Table 4 Level 3'!P26</f>
        <v>610.35</v>
      </c>
      <c r="G27" s="1010">
        <f t="shared" si="3"/>
        <v>0</v>
      </c>
      <c r="H27" s="957">
        <f t="shared" si="4"/>
        <v>0</v>
      </c>
      <c r="I27" s="1020">
        <f t="shared" si="5"/>
        <v>0</v>
      </c>
      <c r="J27" s="957">
        <f t="shared" si="6"/>
        <v>0</v>
      </c>
      <c r="K27" s="957">
        <f>'[16]Oct midyear JS Clark Academy'!K27</f>
        <v>0</v>
      </c>
      <c r="L27" s="957">
        <f t="shared" si="7"/>
        <v>0</v>
      </c>
      <c r="M27" s="957">
        <f t="shared" si="8"/>
        <v>0</v>
      </c>
      <c r="N27" s="981">
        <f>'Table 5C1A-Madison Prep'!N27</f>
        <v>2265</v>
      </c>
      <c r="O27" s="958">
        <f t="shared" si="9"/>
        <v>0</v>
      </c>
      <c r="P27" s="1028">
        <f t="shared" si="10"/>
        <v>0</v>
      </c>
      <c r="Q27" s="958">
        <f t="shared" si="11"/>
        <v>0</v>
      </c>
      <c r="R27" s="958">
        <f>'[16]Oct midyear JS Clark Academy'!P27</f>
        <v>0</v>
      </c>
      <c r="S27" s="958">
        <f t="shared" si="12"/>
        <v>0</v>
      </c>
      <c r="T27" s="958">
        <f t="shared" si="13"/>
        <v>0</v>
      </c>
      <c r="U27" s="959">
        <f t="shared" si="14"/>
        <v>0</v>
      </c>
      <c r="V27" s="959">
        <f t="shared" si="14"/>
        <v>0</v>
      </c>
    </row>
    <row r="28" spans="1:22">
      <c r="A28" s="960">
        <v>22</v>
      </c>
      <c r="B28" s="961" t="s">
        <v>114</v>
      </c>
      <c r="C28" s="1078">
        <f>'2-1-13 SIS'!P28</f>
        <v>0</v>
      </c>
      <c r="D28" s="962">
        <f>'Table 3 Levels 1&amp;2'!AL29</f>
        <v>6203.2933768722742</v>
      </c>
      <c r="E28" s="1011">
        <f t="shared" si="2"/>
        <v>0</v>
      </c>
      <c r="F28" s="1011">
        <f>'Table 4 Level 3'!P27</f>
        <v>496.36</v>
      </c>
      <c r="G28" s="1011">
        <f t="shared" si="3"/>
        <v>0</v>
      </c>
      <c r="H28" s="982">
        <f t="shared" si="4"/>
        <v>0</v>
      </c>
      <c r="I28" s="1021">
        <f t="shared" si="5"/>
        <v>0</v>
      </c>
      <c r="J28" s="982">
        <f t="shared" si="6"/>
        <v>0</v>
      </c>
      <c r="K28" s="982">
        <f>'[16]Oct midyear JS Clark Academy'!K28</f>
        <v>0</v>
      </c>
      <c r="L28" s="982">
        <f t="shared" si="7"/>
        <v>0</v>
      </c>
      <c r="M28" s="982">
        <f t="shared" si="8"/>
        <v>0</v>
      </c>
      <c r="N28" s="981">
        <f>'Table 5C1A-Madison Prep'!N28</f>
        <v>1438</v>
      </c>
      <c r="O28" s="983">
        <f t="shared" si="9"/>
        <v>0</v>
      </c>
      <c r="P28" s="1029">
        <f t="shared" si="10"/>
        <v>0</v>
      </c>
      <c r="Q28" s="983">
        <f t="shared" si="11"/>
        <v>0</v>
      </c>
      <c r="R28" s="983">
        <f>'[16]Oct midyear JS Clark Academy'!P28</f>
        <v>0</v>
      </c>
      <c r="S28" s="983">
        <f t="shared" si="12"/>
        <v>0</v>
      </c>
      <c r="T28" s="983">
        <f t="shared" si="13"/>
        <v>0</v>
      </c>
      <c r="U28" s="984">
        <f t="shared" si="14"/>
        <v>0</v>
      </c>
      <c r="V28" s="984">
        <f t="shared" si="14"/>
        <v>0</v>
      </c>
    </row>
    <row r="29" spans="1:22">
      <c r="A29" s="960">
        <v>23</v>
      </c>
      <c r="B29" s="961" t="s">
        <v>115</v>
      </c>
      <c r="C29" s="1078">
        <f>'2-1-13 SIS'!P29</f>
        <v>0</v>
      </c>
      <c r="D29" s="962">
        <f>'Table 3 Levels 1&amp;2'!AL30</f>
        <v>4846.0802490067681</v>
      </c>
      <c r="E29" s="1011">
        <f t="shared" si="2"/>
        <v>0</v>
      </c>
      <c r="F29" s="1011">
        <f>'Table 4 Level 3'!P28</f>
        <v>688.58</v>
      </c>
      <c r="G29" s="1011">
        <f t="shared" si="3"/>
        <v>0</v>
      </c>
      <c r="H29" s="982">
        <f t="shared" si="4"/>
        <v>0</v>
      </c>
      <c r="I29" s="1021">
        <f t="shared" si="5"/>
        <v>0</v>
      </c>
      <c r="J29" s="982">
        <f t="shared" si="6"/>
        <v>0</v>
      </c>
      <c r="K29" s="982">
        <f>'[16]Oct midyear JS Clark Academy'!K29</f>
        <v>0</v>
      </c>
      <c r="L29" s="982">
        <f t="shared" si="7"/>
        <v>0</v>
      </c>
      <c r="M29" s="982">
        <f t="shared" si="8"/>
        <v>0</v>
      </c>
      <c r="N29" s="981">
        <f>'Table 5C1A-Madison Prep'!N29</f>
        <v>3386</v>
      </c>
      <c r="O29" s="983">
        <f t="shared" si="9"/>
        <v>0</v>
      </c>
      <c r="P29" s="1029">
        <f t="shared" si="10"/>
        <v>0</v>
      </c>
      <c r="Q29" s="983">
        <f t="shared" si="11"/>
        <v>0</v>
      </c>
      <c r="R29" s="983">
        <f>'[16]Oct midyear JS Clark Academy'!P29</f>
        <v>0</v>
      </c>
      <c r="S29" s="983">
        <f t="shared" si="12"/>
        <v>0</v>
      </c>
      <c r="T29" s="983">
        <f t="shared" si="13"/>
        <v>0</v>
      </c>
      <c r="U29" s="984">
        <f t="shared" si="14"/>
        <v>0</v>
      </c>
      <c r="V29" s="984">
        <f t="shared" si="14"/>
        <v>0</v>
      </c>
    </row>
    <row r="30" spans="1:22">
      <c r="A30" s="960">
        <v>24</v>
      </c>
      <c r="B30" s="961" t="s">
        <v>116</v>
      </c>
      <c r="C30" s="1078">
        <f>'2-1-13 SIS'!P30</f>
        <v>0</v>
      </c>
      <c r="D30" s="962">
        <f>'Table 3 Levels 1&amp;2'!AL31</f>
        <v>2764.1216755319151</v>
      </c>
      <c r="E30" s="1011">
        <f t="shared" si="2"/>
        <v>0</v>
      </c>
      <c r="F30" s="1011">
        <f>'Table 4 Level 3'!P29</f>
        <v>854.24999999999989</v>
      </c>
      <c r="G30" s="1011">
        <f t="shared" si="3"/>
        <v>0</v>
      </c>
      <c r="H30" s="982">
        <f t="shared" si="4"/>
        <v>0</v>
      </c>
      <c r="I30" s="1021">
        <f t="shared" si="5"/>
        <v>0</v>
      </c>
      <c r="J30" s="982">
        <f t="shared" si="6"/>
        <v>0</v>
      </c>
      <c r="K30" s="982">
        <f>'[16]Oct midyear JS Clark Academy'!K30</f>
        <v>0</v>
      </c>
      <c r="L30" s="982">
        <f t="shared" si="7"/>
        <v>0</v>
      </c>
      <c r="M30" s="982">
        <f t="shared" si="8"/>
        <v>0</v>
      </c>
      <c r="N30" s="981">
        <f>'Table 5C1A-Madison Prep'!N30</f>
        <v>9761</v>
      </c>
      <c r="O30" s="983">
        <f t="shared" si="9"/>
        <v>0</v>
      </c>
      <c r="P30" s="1029">
        <f t="shared" si="10"/>
        <v>0</v>
      </c>
      <c r="Q30" s="983">
        <f t="shared" si="11"/>
        <v>0</v>
      </c>
      <c r="R30" s="983">
        <f>'[16]Oct midyear JS Clark Academy'!P30</f>
        <v>0</v>
      </c>
      <c r="S30" s="983">
        <f t="shared" si="12"/>
        <v>0</v>
      </c>
      <c r="T30" s="983">
        <f t="shared" si="13"/>
        <v>0</v>
      </c>
      <c r="U30" s="984">
        <f t="shared" si="14"/>
        <v>0</v>
      </c>
      <c r="V30" s="984">
        <f t="shared" si="14"/>
        <v>0</v>
      </c>
    </row>
    <row r="31" spans="1:22">
      <c r="A31" s="963">
        <v>25</v>
      </c>
      <c r="B31" s="964" t="s">
        <v>117</v>
      </c>
      <c r="C31" s="1079">
        <f>'2-1-13 SIS'!P31</f>
        <v>0</v>
      </c>
      <c r="D31" s="965">
        <f>'Table 3 Levels 1&amp;2'!AL32</f>
        <v>3867.4480692053257</v>
      </c>
      <c r="E31" s="1012">
        <f t="shared" si="2"/>
        <v>0</v>
      </c>
      <c r="F31" s="1012">
        <f>'Table 4 Level 3'!P30</f>
        <v>653.73</v>
      </c>
      <c r="G31" s="1012">
        <f t="shared" si="3"/>
        <v>0</v>
      </c>
      <c r="H31" s="985">
        <f t="shared" si="4"/>
        <v>0</v>
      </c>
      <c r="I31" s="1022">
        <f t="shared" si="5"/>
        <v>0</v>
      </c>
      <c r="J31" s="985">
        <f t="shared" si="6"/>
        <v>0</v>
      </c>
      <c r="K31" s="985">
        <f>'[16]Oct midyear JS Clark Academy'!K31</f>
        <v>0</v>
      </c>
      <c r="L31" s="985">
        <f t="shared" si="7"/>
        <v>0</v>
      </c>
      <c r="M31" s="985">
        <f t="shared" si="8"/>
        <v>0</v>
      </c>
      <c r="N31" s="986">
        <f>'Table 5C1A-Madison Prep'!N31</f>
        <v>4842</v>
      </c>
      <c r="O31" s="987">
        <f t="shared" si="9"/>
        <v>0</v>
      </c>
      <c r="P31" s="1030">
        <f t="shared" si="10"/>
        <v>0</v>
      </c>
      <c r="Q31" s="987">
        <f t="shared" si="11"/>
        <v>0</v>
      </c>
      <c r="R31" s="987">
        <f>'[16]Oct midyear JS Clark Academy'!P31</f>
        <v>0</v>
      </c>
      <c r="S31" s="987">
        <f t="shared" si="12"/>
        <v>0</v>
      </c>
      <c r="T31" s="987">
        <f t="shared" si="13"/>
        <v>0</v>
      </c>
      <c r="U31" s="988">
        <f t="shared" si="14"/>
        <v>0</v>
      </c>
      <c r="V31" s="988">
        <f t="shared" si="14"/>
        <v>0</v>
      </c>
    </row>
    <row r="32" spans="1:22">
      <c r="A32" s="953">
        <v>26</v>
      </c>
      <c r="B32" s="954" t="s">
        <v>118</v>
      </c>
      <c r="C32" s="1080">
        <f>'2-1-13 SIS'!P32</f>
        <v>0</v>
      </c>
      <c r="D32" s="956">
        <f>'Table 3 Levels 1&amp;2'!AL33</f>
        <v>3293.481526790355</v>
      </c>
      <c r="E32" s="1010">
        <f t="shared" si="2"/>
        <v>0</v>
      </c>
      <c r="F32" s="1010">
        <f>'Table 4 Level 3'!P31</f>
        <v>836.83</v>
      </c>
      <c r="G32" s="1010">
        <f t="shared" si="3"/>
        <v>0</v>
      </c>
      <c r="H32" s="957">
        <f t="shared" si="4"/>
        <v>0</v>
      </c>
      <c r="I32" s="1020">
        <f t="shared" si="5"/>
        <v>0</v>
      </c>
      <c r="J32" s="957">
        <f t="shared" si="6"/>
        <v>0</v>
      </c>
      <c r="K32" s="957">
        <f>'[16]Oct midyear JS Clark Academy'!K32</f>
        <v>0</v>
      </c>
      <c r="L32" s="957">
        <f t="shared" si="7"/>
        <v>0</v>
      </c>
      <c r="M32" s="957">
        <f t="shared" si="8"/>
        <v>0</v>
      </c>
      <c r="N32" s="981">
        <f>'Table 5C1A-Madison Prep'!N32</f>
        <v>5301</v>
      </c>
      <c r="O32" s="958">
        <f t="shared" si="9"/>
        <v>0</v>
      </c>
      <c r="P32" s="1028">
        <f t="shared" si="10"/>
        <v>0</v>
      </c>
      <c r="Q32" s="958">
        <f t="shared" si="11"/>
        <v>0</v>
      </c>
      <c r="R32" s="958">
        <f>'[16]Oct midyear JS Clark Academy'!P32</f>
        <v>0</v>
      </c>
      <c r="S32" s="958">
        <f t="shared" si="12"/>
        <v>0</v>
      </c>
      <c r="T32" s="958">
        <f t="shared" si="13"/>
        <v>0</v>
      </c>
      <c r="U32" s="959">
        <f t="shared" si="14"/>
        <v>0</v>
      </c>
      <c r="V32" s="959">
        <f t="shared" si="14"/>
        <v>0</v>
      </c>
    </row>
    <row r="33" spans="1:22">
      <c r="A33" s="960">
        <v>27</v>
      </c>
      <c r="B33" s="961" t="s">
        <v>119</v>
      </c>
      <c r="C33" s="1081">
        <f>'2-1-13 SIS'!P33</f>
        <v>0</v>
      </c>
      <c r="D33" s="966">
        <f>'Table 3 Levels 1&amp;2'!AL34</f>
        <v>5680.7727517381973</v>
      </c>
      <c r="E33" s="1013">
        <f t="shared" si="2"/>
        <v>0</v>
      </c>
      <c r="F33" s="1013">
        <f>'Table 4 Level 3'!P32</f>
        <v>693.06</v>
      </c>
      <c r="G33" s="1013">
        <f t="shared" si="3"/>
        <v>0</v>
      </c>
      <c r="H33" s="989">
        <f t="shared" si="4"/>
        <v>0</v>
      </c>
      <c r="I33" s="1023">
        <f t="shared" si="5"/>
        <v>0</v>
      </c>
      <c r="J33" s="989">
        <f t="shared" si="6"/>
        <v>0</v>
      </c>
      <c r="K33" s="989">
        <f>'[16]Oct midyear JS Clark Academy'!K33</f>
        <v>0</v>
      </c>
      <c r="L33" s="989">
        <f t="shared" si="7"/>
        <v>0</v>
      </c>
      <c r="M33" s="989">
        <f t="shared" si="8"/>
        <v>0</v>
      </c>
      <c r="N33" s="981">
        <f>'Table 5C1A-Madison Prep'!N33</f>
        <v>3252</v>
      </c>
      <c r="O33" s="983">
        <f t="shared" si="9"/>
        <v>0</v>
      </c>
      <c r="P33" s="1029">
        <f t="shared" si="10"/>
        <v>0</v>
      </c>
      <c r="Q33" s="983">
        <f t="shared" si="11"/>
        <v>0</v>
      </c>
      <c r="R33" s="983">
        <f>'[16]Oct midyear JS Clark Academy'!P33</f>
        <v>0</v>
      </c>
      <c r="S33" s="983">
        <f t="shared" si="12"/>
        <v>0</v>
      </c>
      <c r="T33" s="983">
        <f t="shared" si="13"/>
        <v>0</v>
      </c>
      <c r="U33" s="984">
        <f t="shared" si="14"/>
        <v>0</v>
      </c>
      <c r="V33" s="984">
        <f t="shared" si="14"/>
        <v>0</v>
      </c>
    </row>
    <row r="34" spans="1:22">
      <c r="A34" s="960">
        <v>28</v>
      </c>
      <c r="B34" s="961" t="s">
        <v>120</v>
      </c>
      <c r="C34" s="1081">
        <f>'2-1-13 SIS'!P34</f>
        <v>1</v>
      </c>
      <c r="D34" s="966">
        <f>'Table 3 Levels 1&amp;2'!AL35</f>
        <v>3163.1694438483169</v>
      </c>
      <c r="E34" s="1013">
        <f t="shared" si="2"/>
        <v>3163.1694438483169</v>
      </c>
      <c r="F34" s="1013">
        <f>'Table 4 Level 3'!P33</f>
        <v>694.4</v>
      </c>
      <c r="G34" s="1013">
        <f t="shared" si="3"/>
        <v>694.4</v>
      </c>
      <c r="H34" s="989">
        <f t="shared" si="4"/>
        <v>3857.569443848317</v>
      </c>
      <c r="I34" s="1023">
        <f t="shared" si="5"/>
        <v>-9.6439236096207921</v>
      </c>
      <c r="J34" s="989">
        <f t="shared" si="6"/>
        <v>3847.9255202386962</v>
      </c>
      <c r="K34" s="989">
        <f>'[16]Oct midyear JS Clark Academy'!K34</f>
        <v>0</v>
      </c>
      <c r="L34" s="989">
        <f t="shared" si="7"/>
        <v>3847.9255202386962</v>
      </c>
      <c r="M34" s="989">
        <f t="shared" si="8"/>
        <v>320.66046001989133</v>
      </c>
      <c r="N34" s="981">
        <f>'Table 5C1A-Madison Prep'!N34</f>
        <v>5361</v>
      </c>
      <c r="O34" s="983">
        <f t="shared" si="9"/>
        <v>5361</v>
      </c>
      <c r="P34" s="1029">
        <f t="shared" si="10"/>
        <v>-13.4025</v>
      </c>
      <c r="Q34" s="983">
        <f t="shared" si="11"/>
        <v>5347.5974999999999</v>
      </c>
      <c r="R34" s="983">
        <f>'[16]Oct midyear JS Clark Academy'!P34</f>
        <v>0</v>
      </c>
      <c r="S34" s="983">
        <f t="shared" si="12"/>
        <v>5347.5974999999999</v>
      </c>
      <c r="T34" s="983">
        <f t="shared" si="13"/>
        <v>445.63312500000001</v>
      </c>
      <c r="U34" s="984">
        <f t="shared" si="14"/>
        <v>9195.5230202386956</v>
      </c>
      <c r="V34" s="984">
        <f t="shared" si="14"/>
        <v>766.29358501989134</v>
      </c>
    </row>
    <row r="35" spans="1:22">
      <c r="A35" s="960">
        <v>29</v>
      </c>
      <c r="B35" s="961" t="s">
        <v>121</v>
      </c>
      <c r="C35" s="1081">
        <f>'2-1-13 SIS'!P35</f>
        <v>0</v>
      </c>
      <c r="D35" s="966">
        <f>'Table 3 Levels 1&amp;2'!AL36</f>
        <v>3952.5586133052648</v>
      </c>
      <c r="E35" s="1013">
        <f t="shared" si="2"/>
        <v>0</v>
      </c>
      <c r="F35" s="1013">
        <f>'Table 4 Level 3'!P34</f>
        <v>754.94999999999993</v>
      </c>
      <c r="G35" s="1013">
        <f t="shared" si="3"/>
        <v>0</v>
      </c>
      <c r="H35" s="989">
        <f t="shared" si="4"/>
        <v>0</v>
      </c>
      <c r="I35" s="1023">
        <f t="shared" si="5"/>
        <v>0</v>
      </c>
      <c r="J35" s="989">
        <f t="shared" si="6"/>
        <v>0</v>
      </c>
      <c r="K35" s="989">
        <f>'[16]Oct midyear JS Clark Academy'!K35</f>
        <v>0</v>
      </c>
      <c r="L35" s="989">
        <f t="shared" si="7"/>
        <v>0</v>
      </c>
      <c r="M35" s="989">
        <f t="shared" si="8"/>
        <v>0</v>
      </c>
      <c r="N35" s="981">
        <f>'Table 5C1A-Madison Prep'!N35</f>
        <v>4763</v>
      </c>
      <c r="O35" s="983">
        <f t="shared" si="9"/>
        <v>0</v>
      </c>
      <c r="P35" s="1029">
        <f t="shared" si="10"/>
        <v>0</v>
      </c>
      <c r="Q35" s="983">
        <f t="shared" si="11"/>
        <v>0</v>
      </c>
      <c r="R35" s="983">
        <f>'[16]Oct midyear JS Clark Academy'!P35</f>
        <v>0</v>
      </c>
      <c r="S35" s="983">
        <f t="shared" si="12"/>
        <v>0</v>
      </c>
      <c r="T35" s="983">
        <f t="shared" si="13"/>
        <v>0</v>
      </c>
      <c r="U35" s="984">
        <f t="shared" si="14"/>
        <v>0</v>
      </c>
      <c r="V35" s="984">
        <f t="shared" si="14"/>
        <v>0</v>
      </c>
    </row>
    <row r="36" spans="1:22">
      <c r="A36" s="963">
        <v>30</v>
      </c>
      <c r="B36" s="964" t="s">
        <v>122</v>
      </c>
      <c r="C36" s="1082">
        <f>'2-1-13 SIS'!P36</f>
        <v>0</v>
      </c>
      <c r="D36" s="967">
        <f>'Table 3 Levels 1&amp;2'!AL37</f>
        <v>5648.6510465852989</v>
      </c>
      <c r="E36" s="1014">
        <f t="shared" si="2"/>
        <v>0</v>
      </c>
      <c r="F36" s="1014">
        <f>'Table 4 Level 3'!P35</f>
        <v>727.17</v>
      </c>
      <c r="G36" s="1014">
        <f t="shared" si="3"/>
        <v>0</v>
      </c>
      <c r="H36" s="990">
        <f t="shared" si="4"/>
        <v>0</v>
      </c>
      <c r="I36" s="1024">
        <f t="shared" si="5"/>
        <v>0</v>
      </c>
      <c r="J36" s="990">
        <f t="shared" si="6"/>
        <v>0</v>
      </c>
      <c r="K36" s="990">
        <f>'[16]Oct midyear JS Clark Academy'!K36</f>
        <v>0</v>
      </c>
      <c r="L36" s="990">
        <f t="shared" si="7"/>
        <v>0</v>
      </c>
      <c r="M36" s="990">
        <f t="shared" si="8"/>
        <v>0</v>
      </c>
      <c r="N36" s="986">
        <f>'Table 5C1A-Madison Prep'!N36</f>
        <v>3236</v>
      </c>
      <c r="O36" s="987">
        <f t="shared" si="9"/>
        <v>0</v>
      </c>
      <c r="P36" s="1030">
        <f t="shared" si="10"/>
        <v>0</v>
      </c>
      <c r="Q36" s="987">
        <f t="shared" si="11"/>
        <v>0</v>
      </c>
      <c r="R36" s="987">
        <f>'[16]Oct midyear JS Clark Academy'!P36</f>
        <v>0</v>
      </c>
      <c r="S36" s="987">
        <f t="shared" si="12"/>
        <v>0</v>
      </c>
      <c r="T36" s="987">
        <f t="shared" si="13"/>
        <v>0</v>
      </c>
      <c r="U36" s="988">
        <f t="shared" si="14"/>
        <v>0</v>
      </c>
      <c r="V36" s="988">
        <f t="shared" si="14"/>
        <v>0</v>
      </c>
    </row>
    <row r="37" spans="1:22">
      <c r="A37" s="953">
        <v>31</v>
      </c>
      <c r="B37" s="954" t="s">
        <v>123</v>
      </c>
      <c r="C37" s="1083">
        <f>'2-1-13 SIS'!P37</f>
        <v>0</v>
      </c>
      <c r="D37" s="968">
        <f>'Table 3 Levels 1&amp;2'!AL38</f>
        <v>4348.9307899232972</v>
      </c>
      <c r="E37" s="1015">
        <f t="shared" si="2"/>
        <v>0</v>
      </c>
      <c r="F37" s="1015">
        <f>'Table 4 Level 3'!P36</f>
        <v>620.83000000000004</v>
      </c>
      <c r="G37" s="1015">
        <f t="shared" si="3"/>
        <v>0</v>
      </c>
      <c r="H37" s="991">
        <f t="shared" si="4"/>
        <v>0</v>
      </c>
      <c r="I37" s="1025">
        <f t="shared" si="5"/>
        <v>0</v>
      </c>
      <c r="J37" s="991">
        <f t="shared" si="6"/>
        <v>0</v>
      </c>
      <c r="K37" s="991">
        <f>'[16]Oct midyear JS Clark Academy'!K37</f>
        <v>0</v>
      </c>
      <c r="L37" s="991">
        <f t="shared" si="7"/>
        <v>0</v>
      </c>
      <c r="M37" s="991">
        <f t="shared" si="8"/>
        <v>0</v>
      </c>
      <c r="N37" s="981">
        <f>'Table 5C1A-Madison Prep'!N37</f>
        <v>4795</v>
      </c>
      <c r="O37" s="958">
        <f t="shared" si="9"/>
        <v>0</v>
      </c>
      <c r="P37" s="1028">
        <f t="shared" si="10"/>
        <v>0</v>
      </c>
      <c r="Q37" s="958">
        <f t="shared" si="11"/>
        <v>0</v>
      </c>
      <c r="R37" s="958">
        <f>'[16]Oct midyear JS Clark Academy'!P37</f>
        <v>0</v>
      </c>
      <c r="S37" s="958">
        <f t="shared" si="12"/>
        <v>0</v>
      </c>
      <c r="T37" s="958">
        <f t="shared" si="13"/>
        <v>0</v>
      </c>
      <c r="U37" s="959">
        <f t="shared" si="14"/>
        <v>0</v>
      </c>
      <c r="V37" s="959">
        <f t="shared" si="14"/>
        <v>0</v>
      </c>
    </row>
    <row r="38" spans="1:22">
      <c r="A38" s="960">
        <v>32</v>
      </c>
      <c r="B38" s="961" t="s">
        <v>124</v>
      </c>
      <c r="C38" s="1081">
        <f>'2-1-13 SIS'!P38</f>
        <v>0</v>
      </c>
      <c r="D38" s="966">
        <f>'Table 3 Levels 1&amp;2'!AL39</f>
        <v>5531.5157655456787</v>
      </c>
      <c r="E38" s="1013">
        <f t="shared" si="2"/>
        <v>0</v>
      </c>
      <c r="F38" s="1013">
        <f>'Table 4 Level 3'!P37</f>
        <v>559.77</v>
      </c>
      <c r="G38" s="1013">
        <f t="shared" si="3"/>
        <v>0</v>
      </c>
      <c r="H38" s="989">
        <f t="shared" si="4"/>
        <v>0</v>
      </c>
      <c r="I38" s="1023">
        <f t="shared" si="5"/>
        <v>0</v>
      </c>
      <c r="J38" s="989">
        <f t="shared" si="6"/>
        <v>0</v>
      </c>
      <c r="K38" s="989">
        <f>'[16]Oct midyear JS Clark Academy'!K38</f>
        <v>0</v>
      </c>
      <c r="L38" s="989">
        <f t="shared" si="7"/>
        <v>0</v>
      </c>
      <c r="M38" s="989">
        <f t="shared" si="8"/>
        <v>0</v>
      </c>
      <c r="N38" s="981">
        <f>'Table 5C1A-Madison Prep'!N38</f>
        <v>2109</v>
      </c>
      <c r="O38" s="983">
        <f t="shared" si="9"/>
        <v>0</v>
      </c>
      <c r="P38" s="1029">
        <f t="shared" si="10"/>
        <v>0</v>
      </c>
      <c r="Q38" s="983">
        <f t="shared" si="11"/>
        <v>0</v>
      </c>
      <c r="R38" s="983">
        <f>'[16]Oct midyear JS Clark Academy'!P38</f>
        <v>0</v>
      </c>
      <c r="S38" s="983">
        <f t="shared" si="12"/>
        <v>0</v>
      </c>
      <c r="T38" s="983">
        <f t="shared" si="13"/>
        <v>0</v>
      </c>
      <c r="U38" s="984">
        <f t="shared" si="14"/>
        <v>0</v>
      </c>
      <c r="V38" s="984">
        <f t="shared" si="14"/>
        <v>0</v>
      </c>
    </row>
    <row r="39" spans="1:22">
      <c r="A39" s="960">
        <v>33</v>
      </c>
      <c r="B39" s="961" t="s">
        <v>125</v>
      </c>
      <c r="C39" s="1081">
        <f>'2-1-13 SIS'!P39</f>
        <v>0</v>
      </c>
      <c r="D39" s="966">
        <f>'Table 3 Levels 1&amp;2'!AL40</f>
        <v>5329.5444226517857</v>
      </c>
      <c r="E39" s="1013">
        <f t="shared" si="2"/>
        <v>0</v>
      </c>
      <c r="F39" s="1013">
        <f>'Table 4 Level 3'!P38</f>
        <v>655.31000000000006</v>
      </c>
      <c r="G39" s="1013">
        <f t="shared" si="3"/>
        <v>0</v>
      </c>
      <c r="H39" s="989">
        <f t="shared" si="4"/>
        <v>0</v>
      </c>
      <c r="I39" s="1023">
        <f t="shared" si="5"/>
        <v>0</v>
      </c>
      <c r="J39" s="989">
        <f t="shared" si="6"/>
        <v>0</v>
      </c>
      <c r="K39" s="989">
        <f>'[16]Oct midyear JS Clark Academy'!K39</f>
        <v>0</v>
      </c>
      <c r="L39" s="989">
        <f t="shared" si="7"/>
        <v>0</v>
      </c>
      <c r="M39" s="989">
        <f t="shared" si="8"/>
        <v>0</v>
      </c>
      <c r="N39" s="981">
        <f>'Table 5C1A-Madison Prep'!N39</f>
        <v>2649</v>
      </c>
      <c r="O39" s="983">
        <f t="shared" si="9"/>
        <v>0</v>
      </c>
      <c r="P39" s="1029">
        <f t="shared" si="10"/>
        <v>0</v>
      </c>
      <c r="Q39" s="983">
        <f t="shared" si="11"/>
        <v>0</v>
      </c>
      <c r="R39" s="983">
        <f>'[16]Oct midyear JS Clark Academy'!P39</f>
        <v>0</v>
      </c>
      <c r="S39" s="983">
        <f t="shared" si="12"/>
        <v>0</v>
      </c>
      <c r="T39" s="983">
        <f t="shared" si="13"/>
        <v>0</v>
      </c>
      <c r="U39" s="984">
        <f t="shared" si="14"/>
        <v>0</v>
      </c>
      <c r="V39" s="984">
        <f t="shared" si="14"/>
        <v>0</v>
      </c>
    </row>
    <row r="40" spans="1:22">
      <c r="A40" s="960">
        <v>34</v>
      </c>
      <c r="B40" s="961" t="s">
        <v>126</v>
      </c>
      <c r="C40" s="1081">
        <f>'2-1-13 SIS'!P40</f>
        <v>0</v>
      </c>
      <c r="D40" s="966">
        <f>'Table 3 Levels 1&amp;2'!AL41</f>
        <v>6003.632932007491</v>
      </c>
      <c r="E40" s="1013">
        <f t="shared" si="2"/>
        <v>0</v>
      </c>
      <c r="F40" s="1013">
        <f>'Table 4 Level 3'!P39</f>
        <v>644.11000000000013</v>
      </c>
      <c r="G40" s="1013">
        <f t="shared" si="3"/>
        <v>0</v>
      </c>
      <c r="H40" s="989">
        <f t="shared" si="4"/>
        <v>0</v>
      </c>
      <c r="I40" s="1023">
        <f t="shared" si="5"/>
        <v>0</v>
      </c>
      <c r="J40" s="989">
        <f t="shared" si="6"/>
        <v>0</v>
      </c>
      <c r="K40" s="989">
        <f>'[16]Oct midyear JS Clark Academy'!K40</f>
        <v>0</v>
      </c>
      <c r="L40" s="989">
        <f t="shared" si="7"/>
        <v>0</v>
      </c>
      <c r="M40" s="989">
        <f t="shared" si="8"/>
        <v>0</v>
      </c>
      <c r="N40" s="981">
        <f>'Table 5C1A-Madison Prep'!N40</f>
        <v>2817</v>
      </c>
      <c r="O40" s="983">
        <f t="shared" si="9"/>
        <v>0</v>
      </c>
      <c r="P40" s="1029">
        <f t="shared" si="10"/>
        <v>0</v>
      </c>
      <c r="Q40" s="983">
        <f t="shared" si="11"/>
        <v>0</v>
      </c>
      <c r="R40" s="983">
        <f>'[16]Oct midyear JS Clark Academy'!P40</f>
        <v>0</v>
      </c>
      <c r="S40" s="983">
        <f t="shared" si="12"/>
        <v>0</v>
      </c>
      <c r="T40" s="983">
        <f t="shared" si="13"/>
        <v>0</v>
      </c>
      <c r="U40" s="984">
        <f t="shared" si="14"/>
        <v>0</v>
      </c>
      <c r="V40" s="984">
        <f t="shared" si="14"/>
        <v>0</v>
      </c>
    </row>
    <row r="41" spans="1:22">
      <c r="A41" s="963">
        <v>35</v>
      </c>
      <c r="B41" s="964" t="s">
        <v>127</v>
      </c>
      <c r="C41" s="1082">
        <f>'2-1-13 SIS'!P41</f>
        <v>0</v>
      </c>
      <c r="D41" s="967">
        <f>'Table 3 Levels 1&amp;2'!AL42</f>
        <v>4607.1606416222867</v>
      </c>
      <c r="E41" s="1014">
        <f t="shared" si="2"/>
        <v>0</v>
      </c>
      <c r="F41" s="1014">
        <f>'Table 4 Level 3'!P40</f>
        <v>537.96</v>
      </c>
      <c r="G41" s="1014">
        <f t="shared" si="3"/>
        <v>0</v>
      </c>
      <c r="H41" s="990">
        <f t="shared" si="4"/>
        <v>0</v>
      </c>
      <c r="I41" s="1024">
        <f t="shared" si="5"/>
        <v>0</v>
      </c>
      <c r="J41" s="990">
        <f t="shared" si="6"/>
        <v>0</v>
      </c>
      <c r="K41" s="990">
        <f>'[16]Oct midyear JS Clark Academy'!K41</f>
        <v>0</v>
      </c>
      <c r="L41" s="990">
        <f t="shared" si="7"/>
        <v>0</v>
      </c>
      <c r="M41" s="990">
        <f t="shared" si="8"/>
        <v>0</v>
      </c>
      <c r="N41" s="986">
        <f>'Table 5C1A-Madison Prep'!N41</f>
        <v>3298</v>
      </c>
      <c r="O41" s="987">
        <f t="shared" si="9"/>
        <v>0</v>
      </c>
      <c r="P41" s="1030">
        <f t="shared" si="10"/>
        <v>0</v>
      </c>
      <c r="Q41" s="987">
        <f t="shared" si="11"/>
        <v>0</v>
      </c>
      <c r="R41" s="987">
        <f>'[16]Oct midyear JS Clark Academy'!P41</f>
        <v>0</v>
      </c>
      <c r="S41" s="987">
        <f t="shared" si="12"/>
        <v>0</v>
      </c>
      <c r="T41" s="987">
        <f t="shared" si="13"/>
        <v>0</v>
      </c>
      <c r="U41" s="988">
        <f t="shared" si="14"/>
        <v>0</v>
      </c>
      <c r="V41" s="988">
        <f t="shared" si="14"/>
        <v>0</v>
      </c>
    </row>
    <row r="42" spans="1:22">
      <c r="A42" s="953">
        <v>36</v>
      </c>
      <c r="B42" s="954" t="s">
        <v>128</v>
      </c>
      <c r="C42" s="1083">
        <f>'2-1-13 SIS'!P42</f>
        <v>0</v>
      </c>
      <c r="D42" s="968">
        <f>'Table 3 Levels 1&amp;2'!AL43</f>
        <v>3520.4894337711748</v>
      </c>
      <c r="E42" s="1015">
        <f t="shared" si="2"/>
        <v>0</v>
      </c>
      <c r="F42" s="1015">
        <f>'Table 5B1_RSD_Orleans'!F78</f>
        <v>746.0335616438357</v>
      </c>
      <c r="G42" s="1015">
        <f t="shared" si="3"/>
        <v>0</v>
      </c>
      <c r="H42" s="991">
        <f t="shared" si="4"/>
        <v>0</v>
      </c>
      <c r="I42" s="1025">
        <f t="shared" si="5"/>
        <v>0</v>
      </c>
      <c r="J42" s="991">
        <f t="shared" si="6"/>
        <v>0</v>
      </c>
      <c r="K42" s="991">
        <f>'[16]Oct midyear JS Clark Academy'!K42</f>
        <v>0</v>
      </c>
      <c r="L42" s="991">
        <f t="shared" si="7"/>
        <v>0</v>
      </c>
      <c r="M42" s="991">
        <f t="shared" si="8"/>
        <v>0</v>
      </c>
      <c r="N42" s="981">
        <f>'Table 5C1A-Madison Prep'!N42</f>
        <v>5442</v>
      </c>
      <c r="O42" s="958">
        <f t="shared" si="9"/>
        <v>0</v>
      </c>
      <c r="P42" s="1028">
        <f t="shared" si="10"/>
        <v>0</v>
      </c>
      <c r="Q42" s="958">
        <f t="shared" si="11"/>
        <v>0</v>
      </c>
      <c r="R42" s="958">
        <f>'[16]Oct midyear JS Clark Academy'!P42</f>
        <v>0</v>
      </c>
      <c r="S42" s="958">
        <f t="shared" si="12"/>
        <v>0</v>
      </c>
      <c r="T42" s="958">
        <f t="shared" si="13"/>
        <v>0</v>
      </c>
      <c r="U42" s="959">
        <f t="shared" si="14"/>
        <v>0</v>
      </c>
      <c r="V42" s="959">
        <f t="shared" si="14"/>
        <v>0</v>
      </c>
    </row>
    <row r="43" spans="1:22">
      <c r="A43" s="960">
        <v>37</v>
      </c>
      <c r="B43" s="961" t="s">
        <v>129</v>
      </c>
      <c r="C43" s="1081">
        <f>'2-1-13 SIS'!P43</f>
        <v>0</v>
      </c>
      <c r="D43" s="966">
        <f>'Table 3 Levels 1&amp;2'!AL44</f>
        <v>5503.7595641818853</v>
      </c>
      <c r="E43" s="1013">
        <f t="shared" si="2"/>
        <v>0</v>
      </c>
      <c r="F43" s="1013">
        <f>'Table 4 Level 3'!P42</f>
        <v>653.61</v>
      </c>
      <c r="G43" s="1013">
        <f t="shared" si="3"/>
        <v>0</v>
      </c>
      <c r="H43" s="989">
        <f t="shared" si="4"/>
        <v>0</v>
      </c>
      <c r="I43" s="1023">
        <f t="shared" si="5"/>
        <v>0</v>
      </c>
      <c r="J43" s="989">
        <f t="shared" si="6"/>
        <v>0</v>
      </c>
      <c r="K43" s="989">
        <f>'[16]Oct midyear JS Clark Academy'!K43</f>
        <v>0</v>
      </c>
      <c r="L43" s="989">
        <f t="shared" si="7"/>
        <v>0</v>
      </c>
      <c r="M43" s="989">
        <f t="shared" si="8"/>
        <v>0</v>
      </c>
      <c r="N43" s="981">
        <f>'Table 5C1A-Madison Prep'!N43</f>
        <v>3227</v>
      </c>
      <c r="O43" s="983">
        <f t="shared" si="9"/>
        <v>0</v>
      </c>
      <c r="P43" s="1029">
        <f t="shared" si="10"/>
        <v>0</v>
      </c>
      <c r="Q43" s="983">
        <f t="shared" si="11"/>
        <v>0</v>
      </c>
      <c r="R43" s="983">
        <f>'[16]Oct midyear JS Clark Academy'!P43</f>
        <v>0</v>
      </c>
      <c r="S43" s="983">
        <f t="shared" si="12"/>
        <v>0</v>
      </c>
      <c r="T43" s="983">
        <f t="shared" si="13"/>
        <v>0</v>
      </c>
      <c r="U43" s="984">
        <f t="shared" si="14"/>
        <v>0</v>
      </c>
      <c r="V43" s="984">
        <f t="shared" si="14"/>
        <v>0</v>
      </c>
    </row>
    <row r="44" spans="1:22">
      <c r="A44" s="960">
        <v>38</v>
      </c>
      <c r="B44" s="961" t="s">
        <v>130</v>
      </c>
      <c r="C44" s="1081">
        <f>'2-1-13 SIS'!P44</f>
        <v>0</v>
      </c>
      <c r="D44" s="966">
        <f>'Table 3 Levels 1&amp;2'!AL45</f>
        <v>2192.7545275590551</v>
      </c>
      <c r="E44" s="1013">
        <f t="shared" si="2"/>
        <v>0</v>
      </c>
      <c r="F44" s="1013">
        <f>'Table 4 Level 3'!P43</f>
        <v>829.92000000000007</v>
      </c>
      <c r="G44" s="1013">
        <f t="shared" si="3"/>
        <v>0</v>
      </c>
      <c r="H44" s="989">
        <f t="shared" si="4"/>
        <v>0</v>
      </c>
      <c r="I44" s="1023">
        <f t="shared" si="5"/>
        <v>0</v>
      </c>
      <c r="J44" s="989">
        <f t="shared" si="6"/>
        <v>0</v>
      </c>
      <c r="K44" s="989">
        <f>'[16]Oct midyear JS Clark Academy'!K44</f>
        <v>0</v>
      </c>
      <c r="L44" s="989">
        <f t="shared" si="7"/>
        <v>0</v>
      </c>
      <c r="M44" s="989">
        <f t="shared" si="8"/>
        <v>0</v>
      </c>
      <c r="N44" s="981">
        <f>'Table 5C1A-Madison Prep'!N44</f>
        <v>10867</v>
      </c>
      <c r="O44" s="983">
        <f t="shared" si="9"/>
        <v>0</v>
      </c>
      <c r="P44" s="1029">
        <f t="shared" si="10"/>
        <v>0</v>
      </c>
      <c r="Q44" s="983">
        <f t="shared" si="11"/>
        <v>0</v>
      </c>
      <c r="R44" s="983">
        <f>'[16]Oct midyear JS Clark Academy'!P44</f>
        <v>0</v>
      </c>
      <c r="S44" s="983">
        <f t="shared" si="12"/>
        <v>0</v>
      </c>
      <c r="T44" s="983">
        <f t="shared" si="13"/>
        <v>0</v>
      </c>
      <c r="U44" s="984">
        <f t="shared" si="14"/>
        <v>0</v>
      </c>
      <c r="V44" s="984">
        <f t="shared" si="14"/>
        <v>0</v>
      </c>
    </row>
    <row r="45" spans="1:22">
      <c r="A45" s="960">
        <v>39</v>
      </c>
      <c r="B45" s="961" t="s">
        <v>131</v>
      </c>
      <c r="C45" s="1081">
        <f>'2-1-13 SIS'!P45</f>
        <v>0</v>
      </c>
      <c r="D45" s="966">
        <f>'Table 3 Levels 1&amp;2'!AL46</f>
        <v>3639.9942778062696</v>
      </c>
      <c r="E45" s="1013">
        <f t="shared" si="2"/>
        <v>0</v>
      </c>
      <c r="F45" s="1013">
        <f>'Table 5B2_RSD_LA'!F21</f>
        <v>779.65573042776441</v>
      </c>
      <c r="G45" s="1013">
        <f t="shared" si="3"/>
        <v>0</v>
      </c>
      <c r="H45" s="989">
        <f t="shared" si="4"/>
        <v>0</v>
      </c>
      <c r="I45" s="1023">
        <f t="shared" si="5"/>
        <v>0</v>
      </c>
      <c r="J45" s="989">
        <f t="shared" si="6"/>
        <v>0</v>
      </c>
      <c r="K45" s="989">
        <f>'[16]Oct midyear JS Clark Academy'!K45</f>
        <v>0</v>
      </c>
      <c r="L45" s="989">
        <f t="shared" si="7"/>
        <v>0</v>
      </c>
      <c r="M45" s="989">
        <f t="shared" si="8"/>
        <v>0</v>
      </c>
      <c r="N45" s="981">
        <f>'Table 5C1A-Madison Prep'!N45</f>
        <v>4324</v>
      </c>
      <c r="O45" s="983">
        <f t="shared" si="9"/>
        <v>0</v>
      </c>
      <c r="P45" s="1029">
        <f t="shared" si="10"/>
        <v>0</v>
      </c>
      <c r="Q45" s="983">
        <f t="shared" si="11"/>
        <v>0</v>
      </c>
      <c r="R45" s="983">
        <f>'[16]Oct midyear JS Clark Academy'!P45</f>
        <v>0</v>
      </c>
      <c r="S45" s="983">
        <f t="shared" si="12"/>
        <v>0</v>
      </c>
      <c r="T45" s="983">
        <f t="shared" si="13"/>
        <v>0</v>
      </c>
      <c r="U45" s="984">
        <f t="shared" si="14"/>
        <v>0</v>
      </c>
      <c r="V45" s="984">
        <f t="shared" si="14"/>
        <v>0</v>
      </c>
    </row>
    <row r="46" spans="1:22">
      <c r="A46" s="963">
        <v>40</v>
      </c>
      <c r="B46" s="964" t="s">
        <v>132</v>
      </c>
      <c r="C46" s="1082">
        <f>'2-1-13 SIS'!P46</f>
        <v>0</v>
      </c>
      <c r="D46" s="967">
        <f>'Table 3 Levels 1&amp;2'!AL47</f>
        <v>4928.4974462701202</v>
      </c>
      <c r="E46" s="1014">
        <f t="shared" si="2"/>
        <v>0</v>
      </c>
      <c r="F46" s="1014">
        <f>'Table 4 Level 3'!P45</f>
        <v>700.2700000000001</v>
      </c>
      <c r="G46" s="1014">
        <f t="shared" si="3"/>
        <v>0</v>
      </c>
      <c r="H46" s="990">
        <f t="shared" si="4"/>
        <v>0</v>
      </c>
      <c r="I46" s="1024">
        <f t="shared" si="5"/>
        <v>0</v>
      </c>
      <c r="J46" s="990">
        <f t="shared" si="6"/>
        <v>0</v>
      </c>
      <c r="K46" s="990">
        <f>'[16]Oct midyear JS Clark Academy'!K46</f>
        <v>0</v>
      </c>
      <c r="L46" s="990">
        <f t="shared" si="7"/>
        <v>0</v>
      </c>
      <c r="M46" s="990">
        <f t="shared" si="8"/>
        <v>0</v>
      </c>
      <c r="N46" s="986">
        <f>'Table 5C1A-Madison Prep'!N46</f>
        <v>3007</v>
      </c>
      <c r="O46" s="987">
        <f t="shared" si="9"/>
        <v>0</v>
      </c>
      <c r="P46" s="1030">
        <f t="shared" si="10"/>
        <v>0</v>
      </c>
      <c r="Q46" s="987">
        <f t="shared" si="11"/>
        <v>0</v>
      </c>
      <c r="R46" s="987">
        <f>'[16]Oct midyear JS Clark Academy'!P46</f>
        <v>0</v>
      </c>
      <c r="S46" s="987">
        <f t="shared" si="12"/>
        <v>0</v>
      </c>
      <c r="T46" s="987">
        <f t="shared" si="13"/>
        <v>0</v>
      </c>
      <c r="U46" s="988">
        <f t="shared" si="14"/>
        <v>0</v>
      </c>
      <c r="V46" s="988">
        <f t="shared" si="14"/>
        <v>0</v>
      </c>
    </row>
    <row r="47" spans="1:22">
      <c r="A47" s="953">
        <v>41</v>
      </c>
      <c r="B47" s="954" t="s">
        <v>133</v>
      </c>
      <c r="C47" s="1083">
        <f>'2-1-13 SIS'!P47</f>
        <v>0</v>
      </c>
      <c r="D47" s="968">
        <f>'Table 3 Levels 1&amp;2'!AL48</f>
        <v>1615.6013465627216</v>
      </c>
      <c r="E47" s="1015">
        <f t="shared" si="2"/>
        <v>0</v>
      </c>
      <c r="F47" s="1015">
        <f>'Table 4 Level 3'!P46</f>
        <v>886.22</v>
      </c>
      <c r="G47" s="1015">
        <f t="shared" si="3"/>
        <v>0</v>
      </c>
      <c r="H47" s="991">
        <f t="shared" si="4"/>
        <v>0</v>
      </c>
      <c r="I47" s="1025">
        <f t="shared" si="5"/>
        <v>0</v>
      </c>
      <c r="J47" s="991">
        <f t="shared" si="6"/>
        <v>0</v>
      </c>
      <c r="K47" s="991">
        <f>'[16]Oct midyear JS Clark Academy'!K47</f>
        <v>0</v>
      </c>
      <c r="L47" s="991">
        <f t="shared" si="7"/>
        <v>0</v>
      </c>
      <c r="M47" s="991">
        <f t="shared" si="8"/>
        <v>0</v>
      </c>
      <c r="N47" s="981">
        <f>'Table 5C1A-Madison Prep'!N47</f>
        <v>9087</v>
      </c>
      <c r="O47" s="958">
        <f t="shared" si="9"/>
        <v>0</v>
      </c>
      <c r="P47" s="1028">
        <f t="shared" si="10"/>
        <v>0</v>
      </c>
      <c r="Q47" s="958">
        <f t="shared" si="11"/>
        <v>0</v>
      </c>
      <c r="R47" s="958">
        <f>'[16]Oct midyear JS Clark Academy'!P47</f>
        <v>0</v>
      </c>
      <c r="S47" s="958">
        <f t="shared" si="12"/>
        <v>0</v>
      </c>
      <c r="T47" s="958">
        <f t="shared" si="13"/>
        <v>0</v>
      </c>
      <c r="U47" s="959">
        <f t="shared" si="14"/>
        <v>0</v>
      </c>
      <c r="V47" s="959">
        <f t="shared" si="14"/>
        <v>0</v>
      </c>
    </row>
    <row r="48" spans="1:22">
      <c r="A48" s="960">
        <v>42</v>
      </c>
      <c r="B48" s="961" t="s">
        <v>134</v>
      </c>
      <c r="C48" s="1081">
        <f>'2-1-13 SIS'!P48</f>
        <v>0</v>
      </c>
      <c r="D48" s="966">
        <f>'Table 3 Levels 1&amp;2'!AL49</f>
        <v>5087.4730460987803</v>
      </c>
      <c r="E48" s="1013">
        <f t="shared" si="2"/>
        <v>0</v>
      </c>
      <c r="F48" s="1013">
        <f>'Table 4 Level 3'!P47</f>
        <v>534.28</v>
      </c>
      <c r="G48" s="1013">
        <f t="shared" si="3"/>
        <v>0</v>
      </c>
      <c r="H48" s="989">
        <f t="shared" si="4"/>
        <v>0</v>
      </c>
      <c r="I48" s="1023">
        <f t="shared" si="5"/>
        <v>0</v>
      </c>
      <c r="J48" s="989">
        <f t="shared" si="6"/>
        <v>0</v>
      </c>
      <c r="K48" s="989">
        <f>'[16]Oct midyear JS Clark Academy'!K48</f>
        <v>0</v>
      </c>
      <c r="L48" s="989">
        <f t="shared" si="7"/>
        <v>0</v>
      </c>
      <c r="M48" s="989">
        <f t="shared" si="8"/>
        <v>0</v>
      </c>
      <c r="N48" s="981">
        <f>'Table 5C1A-Madison Prep'!N48</f>
        <v>2867</v>
      </c>
      <c r="O48" s="983">
        <f t="shared" si="9"/>
        <v>0</v>
      </c>
      <c r="P48" s="1029">
        <f t="shared" si="10"/>
        <v>0</v>
      </c>
      <c r="Q48" s="983">
        <f t="shared" si="11"/>
        <v>0</v>
      </c>
      <c r="R48" s="983">
        <f>'[16]Oct midyear JS Clark Academy'!P48</f>
        <v>0</v>
      </c>
      <c r="S48" s="983">
        <f t="shared" si="12"/>
        <v>0</v>
      </c>
      <c r="T48" s="983">
        <f t="shared" si="13"/>
        <v>0</v>
      </c>
      <c r="U48" s="984">
        <f t="shared" si="14"/>
        <v>0</v>
      </c>
      <c r="V48" s="984">
        <f t="shared" si="14"/>
        <v>0</v>
      </c>
    </row>
    <row r="49" spans="1:22">
      <c r="A49" s="960">
        <v>43</v>
      </c>
      <c r="B49" s="961" t="s">
        <v>135</v>
      </c>
      <c r="C49" s="1081">
        <f>'2-1-13 SIS'!P49</f>
        <v>0</v>
      </c>
      <c r="D49" s="966">
        <f>'Table 3 Levels 1&amp;2'!AL50</f>
        <v>4717.8414352725031</v>
      </c>
      <c r="E49" s="1013">
        <f t="shared" si="2"/>
        <v>0</v>
      </c>
      <c r="F49" s="1013">
        <f>'Table 4 Level 3'!P48</f>
        <v>574.6099999999999</v>
      </c>
      <c r="G49" s="1013">
        <f t="shared" si="3"/>
        <v>0</v>
      </c>
      <c r="H49" s="989">
        <f t="shared" si="4"/>
        <v>0</v>
      </c>
      <c r="I49" s="1023">
        <f t="shared" si="5"/>
        <v>0</v>
      </c>
      <c r="J49" s="989">
        <f t="shared" si="6"/>
        <v>0</v>
      </c>
      <c r="K49" s="989">
        <f>'[16]Oct midyear JS Clark Academy'!K49</f>
        <v>0</v>
      </c>
      <c r="L49" s="989">
        <f t="shared" si="7"/>
        <v>0</v>
      </c>
      <c r="M49" s="989">
        <f t="shared" si="8"/>
        <v>0</v>
      </c>
      <c r="N49" s="981">
        <f>'Table 5C1A-Madison Prep'!N49</f>
        <v>3587</v>
      </c>
      <c r="O49" s="983">
        <f t="shared" si="9"/>
        <v>0</v>
      </c>
      <c r="P49" s="1029">
        <f t="shared" si="10"/>
        <v>0</v>
      </c>
      <c r="Q49" s="983">
        <f t="shared" si="11"/>
        <v>0</v>
      </c>
      <c r="R49" s="983">
        <f>'[16]Oct midyear JS Clark Academy'!P49</f>
        <v>0</v>
      </c>
      <c r="S49" s="983">
        <f t="shared" si="12"/>
        <v>0</v>
      </c>
      <c r="T49" s="983">
        <f t="shared" si="13"/>
        <v>0</v>
      </c>
      <c r="U49" s="984">
        <f t="shared" si="14"/>
        <v>0</v>
      </c>
      <c r="V49" s="984">
        <f t="shared" si="14"/>
        <v>0</v>
      </c>
    </row>
    <row r="50" spans="1:22">
      <c r="A50" s="960">
        <v>44</v>
      </c>
      <c r="B50" s="961" t="s">
        <v>136</v>
      </c>
      <c r="C50" s="1081">
        <f>'2-1-13 SIS'!P50</f>
        <v>0</v>
      </c>
      <c r="D50" s="966">
        <f>'Table 3 Levels 1&amp;2'!AL51</f>
        <v>4696.6221228259064</v>
      </c>
      <c r="E50" s="1013">
        <f t="shared" si="2"/>
        <v>0</v>
      </c>
      <c r="F50" s="1013">
        <f>'Table 4 Level 3'!P49</f>
        <v>663.16000000000008</v>
      </c>
      <c r="G50" s="1013">
        <f t="shared" si="3"/>
        <v>0</v>
      </c>
      <c r="H50" s="989">
        <f t="shared" si="4"/>
        <v>0</v>
      </c>
      <c r="I50" s="1023">
        <f t="shared" si="5"/>
        <v>0</v>
      </c>
      <c r="J50" s="989">
        <f t="shared" si="6"/>
        <v>0</v>
      </c>
      <c r="K50" s="989">
        <f>'[16]Oct midyear JS Clark Academy'!K50</f>
        <v>0</v>
      </c>
      <c r="L50" s="989">
        <f t="shared" si="7"/>
        <v>0</v>
      </c>
      <c r="M50" s="989">
        <f t="shared" si="8"/>
        <v>0</v>
      </c>
      <c r="N50" s="981">
        <f>'Table 5C1A-Madison Prep'!N50</f>
        <v>4561</v>
      </c>
      <c r="O50" s="983">
        <f t="shared" si="9"/>
        <v>0</v>
      </c>
      <c r="P50" s="1029">
        <f t="shared" si="10"/>
        <v>0</v>
      </c>
      <c r="Q50" s="983">
        <f t="shared" si="11"/>
        <v>0</v>
      </c>
      <c r="R50" s="983">
        <f>'[16]Oct midyear JS Clark Academy'!P50</f>
        <v>0</v>
      </c>
      <c r="S50" s="983">
        <f t="shared" si="12"/>
        <v>0</v>
      </c>
      <c r="T50" s="983">
        <f t="shared" si="13"/>
        <v>0</v>
      </c>
      <c r="U50" s="984">
        <f t="shared" si="14"/>
        <v>0</v>
      </c>
      <c r="V50" s="984">
        <f t="shared" si="14"/>
        <v>0</v>
      </c>
    </row>
    <row r="51" spans="1:22">
      <c r="A51" s="963">
        <v>45</v>
      </c>
      <c r="B51" s="964" t="s">
        <v>137</v>
      </c>
      <c r="C51" s="1082">
        <f>'2-1-13 SIS'!P51</f>
        <v>0</v>
      </c>
      <c r="D51" s="967">
        <f>'Table 3 Levels 1&amp;2'!AL52</f>
        <v>2192.4914538932262</v>
      </c>
      <c r="E51" s="1014">
        <f t="shared" si="2"/>
        <v>0</v>
      </c>
      <c r="F51" s="1014">
        <f>'Table 4 Level 3'!P50</f>
        <v>753.96000000000015</v>
      </c>
      <c r="G51" s="1014">
        <f t="shared" si="3"/>
        <v>0</v>
      </c>
      <c r="H51" s="990">
        <f t="shared" si="4"/>
        <v>0</v>
      </c>
      <c r="I51" s="1024">
        <f t="shared" si="5"/>
        <v>0</v>
      </c>
      <c r="J51" s="990">
        <f t="shared" si="6"/>
        <v>0</v>
      </c>
      <c r="K51" s="990">
        <f>'[16]Oct midyear JS Clark Academy'!K51</f>
        <v>0</v>
      </c>
      <c r="L51" s="990">
        <f t="shared" si="7"/>
        <v>0</v>
      </c>
      <c r="M51" s="990">
        <f t="shared" si="8"/>
        <v>0</v>
      </c>
      <c r="N51" s="986">
        <f>'Table 5C1A-Madison Prep'!N51</f>
        <v>11287</v>
      </c>
      <c r="O51" s="987">
        <f t="shared" si="9"/>
        <v>0</v>
      </c>
      <c r="P51" s="1030">
        <f t="shared" si="10"/>
        <v>0</v>
      </c>
      <c r="Q51" s="987">
        <f t="shared" si="11"/>
        <v>0</v>
      </c>
      <c r="R51" s="987">
        <f>'[16]Oct midyear JS Clark Academy'!P51</f>
        <v>0</v>
      </c>
      <c r="S51" s="987">
        <f t="shared" si="12"/>
        <v>0</v>
      </c>
      <c r="T51" s="987">
        <f t="shared" si="13"/>
        <v>0</v>
      </c>
      <c r="U51" s="988">
        <f t="shared" si="14"/>
        <v>0</v>
      </c>
      <c r="V51" s="988">
        <f t="shared" si="14"/>
        <v>0</v>
      </c>
    </row>
    <row r="52" spans="1:22">
      <c r="A52" s="953">
        <v>46</v>
      </c>
      <c r="B52" s="954" t="s">
        <v>138</v>
      </c>
      <c r="C52" s="1083">
        <f>'2-1-13 SIS'!P52</f>
        <v>0</v>
      </c>
      <c r="D52" s="968">
        <f>'Table 3 Levels 1&amp;2'!AL53</f>
        <v>5644.6599115241634</v>
      </c>
      <c r="E52" s="1015">
        <f t="shared" si="2"/>
        <v>0</v>
      </c>
      <c r="F52" s="1015">
        <f>'Table 4 Level 3'!P51</f>
        <v>728.06</v>
      </c>
      <c r="G52" s="1015">
        <f t="shared" si="3"/>
        <v>0</v>
      </c>
      <c r="H52" s="991">
        <f t="shared" si="4"/>
        <v>0</v>
      </c>
      <c r="I52" s="1025">
        <f t="shared" si="5"/>
        <v>0</v>
      </c>
      <c r="J52" s="991">
        <f t="shared" si="6"/>
        <v>0</v>
      </c>
      <c r="K52" s="991">
        <f>'[16]Oct midyear JS Clark Academy'!K52</f>
        <v>0</v>
      </c>
      <c r="L52" s="991">
        <f t="shared" si="7"/>
        <v>0</v>
      </c>
      <c r="M52" s="991">
        <f t="shared" si="8"/>
        <v>0</v>
      </c>
      <c r="N52" s="981">
        <f>'Table 5C1A-Madison Prep'!N52</f>
        <v>2150</v>
      </c>
      <c r="O52" s="958">
        <f t="shared" si="9"/>
        <v>0</v>
      </c>
      <c r="P52" s="1028">
        <f t="shared" si="10"/>
        <v>0</v>
      </c>
      <c r="Q52" s="958">
        <f t="shared" si="11"/>
        <v>0</v>
      </c>
      <c r="R52" s="958">
        <f>'[16]Oct midyear JS Clark Academy'!P52</f>
        <v>0</v>
      </c>
      <c r="S52" s="958">
        <f t="shared" si="12"/>
        <v>0</v>
      </c>
      <c r="T52" s="958">
        <f t="shared" si="13"/>
        <v>0</v>
      </c>
      <c r="U52" s="959">
        <f t="shared" si="14"/>
        <v>0</v>
      </c>
      <c r="V52" s="959">
        <f t="shared" si="14"/>
        <v>0</v>
      </c>
    </row>
    <row r="53" spans="1:22">
      <c r="A53" s="960">
        <v>47</v>
      </c>
      <c r="B53" s="961" t="s">
        <v>139</v>
      </c>
      <c r="C53" s="1081">
        <f>'2-1-13 SIS'!P53</f>
        <v>0</v>
      </c>
      <c r="D53" s="966">
        <f>'Table 3 Levels 1&amp;2'!AL54</f>
        <v>2731.2444076222037</v>
      </c>
      <c r="E53" s="1013">
        <f t="shared" si="2"/>
        <v>0</v>
      </c>
      <c r="F53" s="1013">
        <f>'Table 4 Level 3'!P52</f>
        <v>910.76</v>
      </c>
      <c r="G53" s="1013">
        <f t="shared" si="3"/>
        <v>0</v>
      </c>
      <c r="H53" s="989">
        <f t="shared" si="4"/>
        <v>0</v>
      </c>
      <c r="I53" s="1023">
        <f t="shared" si="5"/>
        <v>0</v>
      </c>
      <c r="J53" s="989">
        <f t="shared" si="6"/>
        <v>0</v>
      </c>
      <c r="K53" s="989">
        <f>'[16]Oct midyear JS Clark Academy'!K53</f>
        <v>0</v>
      </c>
      <c r="L53" s="989">
        <f t="shared" si="7"/>
        <v>0</v>
      </c>
      <c r="M53" s="989">
        <f t="shared" si="8"/>
        <v>0</v>
      </c>
      <c r="N53" s="981">
        <f>'Table 5C1A-Madison Prep'!N53</f>
        <v>13280</v>
      </c>
      <c r="O53" s="983">
        <f t="shared" si="9"/>
        <v>0</v>
      </c>
      <c r="P53" s="1029">
        <f t="shared" si="10"/>
        <v>0</v>
      </c>
      <c r="Q53" s="983">
        <f t="shared" si="11"/>
        <v>0</v>
      </c>
      <c r="R53" s="983">
        <f>'[16]Oct midyear JS Clark Academy'!P53</f>
        <v>0</v>
      </c>
      <c r="S53" s="983">
        <f t="shared" si="12"/>
        <v>0</v>
      </c>
      <c r="T53" s="983">
        <f t="shared" si="13"/>
        <v>0</v>
      </c>
      <c r="U53" s="984">
        <f t="shared" si="14"/>
        <v>0</v>
      </c>
      <c r="V53" s="984">
        <f t="shared" si="14"/>
        <v>0</v>
      </c>
    </row>
    <row r="54" spans="1:22">
      <c r="A54" s="960">
        <v>48</v>
      </c>
      <c r="B54" s="961" t="s">
        <v>197</v>
      </c>
      <c r="C54" s="1081">
        <f>'2-1-13 SIS'!P54</f>
        <v>0</v>
      </c>
      <c r="D54" s="966">
        <f>'Table 3 Levels 1&amp;2'!AL55</f>
        <v>4272.723323083942</v>
      </c>
      <c r="E54" s="1013">
        <f t="shared" si="2"/>
        <v>0</v>
      </c>
      <c r="F54" s="1013">
        <f>'Table 4 Level 3'!P53</f>
        <v>871.07</v>
      </c>
      <c r="G54" s="1013">
        <f t="shared" si="3"/>
        <v>0</v>
      </c>
      <c r="H54" s="989">
        <f t="shared" si="4"/>
        <v>0</v>
      </c>
      <c r="I54" s="1023">
        <f t="shared" si="5"/>
        <v>0</v>
      </c>
      <c r="J54" s="989">
        <f t="shared" si="6"/>
        <v>0</v>
      </c>
      <c r="K54" s="989">
        <f>'[16]Oct midyear JS Clark Academy'!K54</f>
        <v>0</v>
      </c>
      <c r="L54" s="989">
        <f t="shared" si="7"/>
        <v>0</v>
      </c>
      <c r="M54" s="989">
        <f t="shared" si="8"/>
        <v>0</v>
      </c>
      <c r="N54" s="981">
        <f>'Table 5C1A-Madison Prep'!N54</f>
        <v>6453</v>
      </c>
      <c r="O54" s="983">
        <f t="shared" si="9"/>
        <v>0</v>
      </c>
      <c r="P54" s="1029">
        <f t="shared" si="10"/>
        <v>0</v>
      </c>
      <c r="Q54" s="983">
        <f t="shared" si="11"/>
        <v>0</v>
      </c>
      <c r="R54" s="983">
        <f>'[16]Oct midyear JS Clark Academy'!P54</f>
        <v>0</v>
      </c>
      <c r="S54" s="983">
        <f t="shared" si="12"/>
        <v>0</v>
      </c>
      <c r="T54" s="983">
        <f t="shared" si="13"/>
        <v>0</v>
      </c>
      <c r="U54" s="984">
        <f t="shared" si="14"/>
        <v>0</v>
      </c>
      <c r="V54" s="984">
        <f t="shared" si="14"/>
        <v>0</v>
      </c>
    </row>
    <row r="55" spans="1:22">
      <c r="A55" s="960">
        <v>49</v>
      </c>
      <c r="B55" s="961" t="s">
        <v>140</v>
      </c>
      <c r="C55" s="1081">
        <f>'2-1-13 SIS'!P55</f>
        <v>167</v>
      </c>
      <c r="D55" s="966">
        <f>'Table 3 Levels 1&amp;2'!AL56</f>
        <v>4836.7092570332552</v>
      </c>
      <c r="E55" s="1013">
        <f t="shared" si="2"/>
        <v>807730.44592455367</v>
      </c>
      <c r="F55" s="1013">
        <f>'Table 4 Level 3'!P54</f>
        <v>574.43999999999994</v>
      </c>
      <c r="G55" s="1013">
        <f t="shared" si="3"/>
        <v>95931.48</v>
      </c>
      <c r="H55" s="989">
        <f t="shared" si="4"/>
        <v>903661.92592455365</v>
      </c>
      <c r="I55" s="1023">
        <f t="shared" si="5"/>
        <v>-2259.1548148113843</v>
      </c>
      <c r="J55" s="989">
        <f t="shared" si="6"/>
        <v>901402.77110974223</v>
      </c>
      <c r="K55" s="989">
        <f>'[16]Oct midyear JS Clark Academy'!K55</f>
        <v>5393.6121863971766</v>
      </c>
      <c r="L55" s="989">
        <f t="shared" si="7"/>
        <v>906796.38329613942</v>
      </c>
      <c r="M55" s="989">
        <f t="shared" si="8"/>
        <v>75566.36527467829</v>
      </c>
      <c r="N55" s="981">
        <f>'Table 5C1A-Madison Prep'!N55</f>
        <v>2287</v>
      </c>
      <c r="O55" s="983">
        <f t="shared" si="9"/>
        <v>381929</v>
      </c>
      <c r="P55" s="1029">
        <f t="shared" si="10"/>
        <v>-954.82249999999999</v>
      </c>
      <c r="Q55" s="983">
        <f t="shared" si="11"/>
        <v>380974.17749999999</v>
      </c>
      <c r="R55" s="983">
        <f>'[16]Oct midyear JS Clark Academy'!P55</f>
        <v>2345</v>
      </c>
      <c r="S55" s="983">
        <f t="shared" si="12"/>
        <v>383319.17749999999</v>
      </c>
      <c r="T55" s="983">
        <f t="shared" si="13"/>
        <v>31943.264791666665</v>
      </c>
      <c r="U55" s="984">
        <f t="shared" si="14"/>
        <v>1290115.5607961393</v>
      </c>
      <c r="V55" s="984">
        <f t="shared" si="14"/>
        <v>107509.63006634495</v>
      </c>
    </row>
    <row r="56" spans="1:22">
      <c r="A56" s="963">
        <v>50</v>
      </c>
      <c r="B56" s="964" t="s">
        <v>141</v>
      </c>
      <c r="C56" s="1082">
        <f>'2-1-13 SIS'!P56</f>
        <v>0</v>
      </c>
      <c r="D56" s="967">
        <f>'Table 3 Levels 1&amp;2'!AL57</f>
        <v>5032.6862895017111</v>
      </c>
      <c r="E56" s="1014">
        <f t="shared" si="2"/>
        <v>0</v>
      </c>
      <c r="F56" s="1014">
        <f>'Table 4 Level 3'!P55</f>
        <v>634.46</v>
      </c>
      <c r="G56" s="1014">
        <f t="shared" si="3"/>
        <v>0</v>
      </c>
      <c r="H56" s="990">
        <f t="shared" si="4"/>
        <v>0</v>
      </c>
      <c r="I56" s="1024">
        <f t="shared" si="5"/>
        <v>0</v>
      </c>
      <c r="J56" s="990">
        <f t="shared" si="6"/>
        <v>0</v>
      </c>
      <c r="K56" s="990">
        <f>'[16]Oct midyear JS Clark Academy'!K56</f>
        <v>0</v>
      </c>
      <c r="L56" s="990">
        <f t="shared" si="7"/>
        <v>0</v>
      </c>
      <c r="M56" s="990">
        <f t="shared" si="8"/>
        <v>0</v>
      </c>
      <c r="N56" s="986">
        <f>'Table 5C1A-Madison Prep'!N56</f>
        <v>2801</v>
      </c>
      <c r="O56" s="987">
        <f t="shared" si="9"/>
        <v>0</v>
      </c>
      <c r="P56" s="1030">
        <f t="shared" si="10"/>
        <v>0</v>
      </c>
      <c r="Q56" s="987">
        <f t="shared" si="11"/>
        <v>0</v>
      </c>
      <c r="R56" s="987">
        <f>'[16]Oct midyear JS Clark Academy'!P56</f>
        <v>0</v>
      </c>
      <c r="S56" s="987">
        <f t="shared" si="12"/>
        <v>0</v>
      </c>
      <c r="T56" s="987">
        <f t="shared" si="13"/>
        <v>0</v>
      </c>
      <c r="U56" s="988">
        <f t="shared" si="14"/>
        <v>0</v>
      </c>
      <c r="V56" s="988">
        <f t="shared" si="14"/>
        <v>0</v>
      </c>
    </row>
    <row r="57" spans="1:22">
      <c r="A57" s="953">
        <v>51</v>
      </c>
      <c r="B57" s="954" t="s">
        <v>142</v>
      </c>
      <c r="C57" s="1083">
        <f>'2-1-13 SIS'!P57</f>
        <v>0</v>
      </c>
      <c r="D57" s="968">
        <f>'Table 3 Levels 1&amp;2'!AL58</f>
        <v>4246.0339872793602</v>
      </c>
      <c r="E57" s="1015">
        <f t="shared" si="2"/>
        <v>0</v>
      </c>
      <c r="F57" s="1015">
        <f>'Table 4 Level 3'!P56</f>
        <v>706.66</v>
      </c>
      <c r="G57" s="1015">
        <f t="shared" si="3"/>
        <v>0</v>
      </c>
      <c r="H57" s="991">
        <f t="shared" si="4"/>
        <v>0</v>
      </c>
      <c r="I57" s="1025">
        <f t="shared" si="5"/>
        <v>0</v>
      </c>
      <c r="J57" s="991">
        <f t="shared" si="6"/>
        <v>0</v>
      </c>
      <c r="K57" s="991">
        <f>'[16]Oct midyear JS Clark Academy'!K57</f>
        <v>0</v>
      </c>
      <c r="L57" s="991">
        <f t="shared" si="7"/>
        <v>0</v>
      </c>
      <c r="M57" s="991">
        <f t="shared" si="8"/>
        <v>0</v>
      </c>
      <c r="N57" s="981">
        <f>'Table 5C1A-Madison Prep'!N57</f>
        <v>4215</v>
      </c>
      <c r="O57" s="958">
        <f t="shared" si="9"/>
        <v>0</v>
      </c>
      <c r="P57" s="1028">
        <f t="shared" si="10"/>
        <v>0</v>
      </c>
      <c r="Q57" s="958">
        <f t="shared" si="11"/>
        <v>0</v>
      </c>
      <c r="R57" s="958">
        <f>'[16]Oct midyear JS Clark Academy'!P57</f>
        <v>0</v>
      </c>
      <c r="S57" s="958">
        <f t="shared" si="12"/>
        <v>0</v>
      </c>
      <c r="T57" s="958">
        <f t="shared" si="13"/>
        <v>0</v>
      </c>
      <c r="U57" s="959">
        <f t="shared" si="14"/>
        <v>0</v>
      </c>
      <c r="V57" s="959">
        <f t="shared" si="14"/>
        <v>0</v>
      </c>
    </row>
    <row r="58" spans="1:22">
      <c r="A58" s="960">
        <v>52</v>
      </c>
      <c r="B58" s="961" t="s">
        <v>143</v>
      </c>
      <c r="C58" s="1081">
        <f>'2-1-13 SIS'!P58</f>
        <v>0</v>
      </c>
      <c r="D58" s="966">
        <f>'Table 3 Levels 1&amp;2'!AL59</f>
        <v>5013.4438050113249</v>
      </c>
      <c r="E58" s="1013">
        <f t="shared" si="2"/>
        <v>0</v>
      </c>
      <c r="F58" s="1013">
        <f>'Table 4 Level 3'!P57</f>
        <v>658.37</v>
      </c>
      <c r="G58" s="1013">
        <f t="shared" si="3"/>
        <v>0</v>
      </c>
      <c r="H58" s="989">
        <f t="shared" si="4"/>
        <v>0</v>
      </c>
      <c r="I58" s="1023">
        <f t="shared" si="5"/>
        <v>0</v>
      </c>
      <c r="J58" s="989">
        <f t="shared" si="6"/>
        <v>0</v>
      </c>
      <c r="K58" s="989">
        <f>'[16]Oct midyear JS Clark Academy'!K58</f>
        <v>0</v>
      </c>
      <c r="L58" s="989">
        <f t="shared" si="7"/>
        <v>0</v>
      </c>
      <c r="M58" s="989">
        <f t="shared" si="8"/>
        <v>0</v>
      </c>
      <c r="N58" s="981">
        <f>'Table 5C1A-Madison Prep'!N58</f>
        <v>4889</v>
      </c>
      <c r="O58" s="983">
        <f t="shared" si="9"/>
        <v>0</v>
      </c>
      <c r="P58" s="1029">
        <f t="shared" si="10"/>
        <v>0</v>
      </c>
      <c r="Q58" s="983">
        <f t="shared" si="11"/>
        <v>0</v>
      </c>
      <c r="R58" s="983">
        <f>'[16]Oct midyear JS Clark Academy'!P58</f>
        <v>0</v>
      </c>
      <c r="S58" s="983">
        <f t="shared" si="12"/>
        <v>0</v>
      </c>
      <c r="T58" s="983">
        <f t="shared" si="13"/>
        <v>0</v>
      </c>
      <c r="U58" s="984">
        <f t="shared" si="14"/>
        <v>0</v>
      </c>
      <c r="V58" s="984">
        <f t="shared" si="14"/>
        <v>0</v>
      </c>
    </row>
    <row r="59" spans="1:22">
      <c r="A59" s="960">
        <v>53</v>
      </c>
      <c r="B59" s="961" t="s">
        <v>144</v>
      </c>
      <c r="C59" s="1081">
        <f>'2-1-13 SIS'!P59</f>
        <v>0</v>
      </c>
      <c r="D59" s="966">
        <f>'Table 3 Levels 1&amp;2'!AL60</f>
        <v>4775.5877635581091</v>
      </c>
      <c r="E59" s="1013">
        <f t="shared" si="2"/>
        <v>0</v>
      </c>
      <c r="F59" s="1013">
        <f>'Table 4 Level 3'!P58</f>
        <v>689.74</v>
      </c>
      <c r="G59" s="1013">
        <f t="shared" si="3"/>
        <v>0</v>
      </c>
      <c r="H59" s="989">
        <f t="shared" si="4"/>
        <v>0</v>
      </c>
      <c r="I59" s="1023">
        <f t="shared" si="5"/>
        <v>0</v>
      </c>
      <c r="J59" s="989">
        <f t="shared" si="6"/>
        <v>0</v>
      </c>
      <c r="K59" s="989">
        <f>'[16]Oct midyear JS Clark Academy'!K59</f>
        <v>0</v>
      </c>
      <c r="L59" s="989">
        <f t="shared" si="7"/>
        <v>0</v>
      </c>
      <c r="M59" s="989">
        <f t="shared" si="8"/>
        <v>0</v>
      </c>
      <c r="N59" s="981">
        <f>'Table 5C1A-Madison Prep'!N59</f>
        <v>2119</v>
      </c>
      <c r="O59" s="983">
        <f t="shared" si="9"/>
        <v>0</v>
      </c>
      <c r="P59" s="1029">
        <f t="shared" si="10"/>
        <v>0</v>
      </c>
      <c r="Q59" s="983">
        <f t="shared" si="11"/>
        <v>0</v>
      </c>
      <c r="R59" s="983">
        <f>'[16]Oct midyear JS Clark Academy'!P59</f>
        <v>0</v>
      </c>
      <c r="S59" s="983">
        <f t="shared" si="12"/>
        <v>0</v>
      </c>
      <c r="T59" s="983">
        <f t="shared" si="13"/>
        <v>0</v>
      </c>
      <c r="U59" s="984">
        <f t="shared" si="14"/>
        <v>0</v>
      </c>
      <c r="V59" s="984">
        <f t="shared" si="14"/>
        <v>0</v>
      </c>
    </row>
    <row r="60" spans="1:22">
      <c r="A60" s="960">
        <v>54</v>
      </c>
      <c r="B60" s="961" t="s">
        <v>145</v>
      </c>
      <c r="C60" s="1081">
        <f>'2-1-13 SIS'!P60</f>
        <v>0</v>
      </c>
      <c r="D60" s="966">
        <f>'Table 3 Levels 1&amp;2'!AL61</f>
        <v>5951.8009386275662</v>
      </c>
      <c r="E60" s="1013">
        <f t="shared" si="2"/>
        <v>0</v>
      </c>
      <c r="F60" s="1013">
        <f>'Table 4 Level 3'!P59</f>
        <v>951.45</v>
      </c>
      <c r="G60" s="1013">
        <f t="shared" si="3"/>
        <v>0</v>
      </c>
      <c r="H60" s="989">
        <f t="shared" si="4"/>
        <v>0</v>
      </c>
      <c r="I60" s="1023">
        <f t="shared" si="5"/>
        <v>0</v>
      </c>
      <c r="J60" s="989">
        <f t="shared" si="6"/>
        <v>0</v>
      </c>
      <c r="K60" s="989">
        <f>'[16]Oct midyear JS Clark Academy'!K60</f>
        <v>0</v>
      </c>
      <c r="L60" s="989">
        <f t="shared" si="7"/>
        <v>0</v>
      </c>
      <c r="M60" s="989">
        <f t="shared" si="8"/>
        <v>0</v>
      </c>
      <c r="N60" s="981">
        <f>'Table 5C1A-Madison Prep'!N60</f>
        <v>3690</v>
      </c>
      <c r="O60" s="983">
        <f t="shared" si="9"/>
        <v>0</v>
      </c>
      <c r="P60" s="1029">
        <f t="shared" si="10"/>
        <v>0</v>
      </c>
      <c r="Q60" s="983">
        <f t="shared" si="11"/>
        <v>0</v>
      </c>
      <c r="R60" s="983">
        <f>'[16]Oct midyear JS Clark Academy'!P60</f>
        <v>0</v>
      </c>
      <c r="S60" s="983">
        <f t="shared" si="12"/>
        <v>0</v>
      </c>
      <c r="T60" s="983">
        <f t="shared" si="13"/>
        <v>0</v>
      </c>
      <c r="U60" s="984">
        <f t="shared" si="14"/>
        <v>0</v>
      </c>
      <c r="V60" s="984">
        <f t="shared" si="14"/>
        <v>0</v>
      </c>
    </row>
    <row r="61" spans="1:22">
      <c r="A61" s="963">
        <v>55</v>
      </c>
      <c r="B61" s="964" t="s">
        <v>146</v>
      </c>
      <c r="C61" s="1082">
        <f>'2-1-13 SIS'!P61</f>
        <v>0</v>
      </c>
      <c r="D61" s="967">
        <f>'Table 3 Levels 1&amp;2'!AL62</f>
        <v>4171.0434735233157</v>
      </c>
      <c r="E61" s="1014">
        <f t="shared" si="2"/>
        <v>0</v>
      </c>
      <c r="F61" s="1014">
        <f>'Table 4 Level 3'!P60</f>
        <v>795.14</v>
      </c>
      <c r="G61" s="1014">
        <f t="shared" si="3"/>
        <v>0</v>
      </c>
      <c r="H61" s="990">
        <f t="shared" si="4"/>
        <v>0</v>
      </c>
      <c r="I61" s="1024">
        <f t="shared" si="5"/>
        <v>0</v>
      </c>
      <c r="J61" s="990">
        <f t="shared" si="6"/>
        <v>0</v>
      </c>
      <c r="K61" s="990">
        <f>'[16]Oct midyear JS Clark Academy'!K61</f>
        <v>0</v>
      </c>
      <c r="L61" s="990">
        <f t="shared" si="7"/>
        <v>0</v>
      </c>
      <c r="M61" s="990">
        <f t="shared" si="8"/>
        <v>0</v>
      </c>
      <c r="N61" s="986">
        <f>'Table 5C1A-Madison Prep'!N61</f>
        <v>3157</v>
      </c>
      <c r="O61" s="987">
        <f t="shared" si="9"/>
        <v>0</v>
      </c>
      <c r="P61" s="1030">
        <f t="shared" si="10"/>
        <v>0</v>
      </c>
      <c r="Q61" s="987">
        <f t="shared" si="11"/>
        <v>0</v>
      </c>
      <c r="R61" s="987">
        <f>'[16]Oct midyear JS Clark Academy'!P61</f>
        <v>0</v>
      </c>
      <c r="S61" s="987">
        <f t="shared" si="12"/>
        <v>0</v>
      </c>
      <c r="T61" s="987">
        <f t="shared" si="13"/>
        <v>0</v>
      </c>
      <c r="U61" s="988">
        <f t="shared" si="14"/>
        <v>0</v>
      </c>
      <c r="V61" s="988">
        <f t="shared" si="14"/>
        <v>0</v>
      </c>
    </row>
    <row r="62" spans="1:22">
      <c r="A62" s="953">
        <v>56</v>
      </c>
      <c r="B62" s="954" t="s">
        <v>147</v>
      </c>
      <c r="C62" s="1083">
        <f>'2-1-13 SIS'!P62</f>
        <v>0</v>
      </c>
      <c r="D62" s="968">
        <f>'Table 3 Levels 1&amp;2'!AL63</f>
        <v>4968.593189672727</v>
      </c>
      <c r="E62" s="1015">
        <f t="shared" si="2"/>
        <v>0</v>
      </c>
      <c r="F62" s="1015">
        <f>'Table 4 Level 3'!P61</f>
        <v>614.66000000000008</v>
      </c>
      <c r="G62" s="1015">
        <f t="shared" si="3"/>
        <v>0</v>
      </c>
      <c r="H62" s="991">
        <f t="shared" si="4"/>
        <v>0</v>
      </c>
      <c r="I62" s="1025">
        <f t="shared" si="5"/>
        <v>0</v>
      </c>
      <c r="J62" s="991">
        <f t="shared" si="6"/>
        <v>0</v>
      </c>
      <c r="K62" s="991">
        <f>'[16]Oct midyear JS Clark Academy'!K62</f>
        <v>0</v>
      </c>
      <c r="L62" s="991">
        <f t="shared" si="7"/>
        <v>0</v>
      </c>
      <c r="M62" s="991">
        <f t="shared" si="8"/>
        <v>0</v>
      </c>
      <c r="N62" s="981">
        <f>'Table 5C1A-Madison Prep'!N62</f>
        <v>2779</v>
      </c>
      <c r="O62" s="958">
        <f t="shared" si="9"/>
        <v>0</v>
      </c>
      <c r="P62" s="1028">
        <f t="shared" si="10"/>
        <v>0</v>
      </c>
      <c r="Q62" s="958">
        <f t="shared" si="11"/>
        <v>0</v>
      </c>
      <c r="R62" s="958">
        <f>'[16]Oct midyear JS Clark Academy'!P62</f>
        <v>0</v>
      </c>
      <c r="S62" s="958">
        <f t="shared" si="12"/>
        <v>0</v>
      </c>
      <c r="T62" s="958">
        <f t="shared" si="13"/>
        <v>0</v>
      </c>
      <c r="U62" s="959">
        <f t="shared" si="14"/>
        <v>0</v>
      </c>
      <c r="V62" s="959">
        <f t="shared" si="14"/>
        <v>0</v>
      </c>
    </row>
    <row r="63" spans="1:22">
      <c r="A63" s="960">
        <v>57</v>
      </c>
      <c r="B63" s="961" t="s">
        <v>148</v>
      </c>
      <c r="C63" s="1081">
        <f>'2-1-13 SIS'!P63</f>
        <v>0</v>
      </c>
      <c r="D63" s="966">
        <f>'Table 3 Levels 1&amp;2'!AL64</f>
        <v>4485.7073020218859</v>
      </c>
      <c r="E63" s="1013">
        <f t="shared" si="2"/>
        <v>0</v>
      </c>
      <c r="F63" s="1013">
        <f>'Table 4 Level 3'!P62</f>
        <v>764.51</v>
      </c>
      <c r="G63" s="1013">
        <f t="shared" si="3"/>
        <v>0</v>
      </c>
      <c r="H63" s="989">
        <f t="shared" si="4"/>
        <v>0</v>
      </c>
      <c r="I63" s="1023">
        <f t="shared" si="5"/>
        <v>0</v>
      </c>
      <c r="J63" s="989">
        <f t="shared" si="6"/>
        <v>0</v>
      </c>
      <c r="K63" s="989">
        <f>'[16]Oct midyear JS Clark Academy'!K63</f>
        <v>0</v>
      </c>
      <c r="L63" s="989">
        <f t="shared" si="7"/>
        <v>0</v>
      </c>
      <c r="M63" s="989">
        <f t="shared" si="8"/>
        <v>0</v>
      </c>
      <c r="N63" s="981">
        <f>'Table 5C1A-Madison Prep'!N63</f>
        <v>3107</v>
      </c>
      <c r="O63" s="983">
        <f t="shared" si="9"/>
        <v>0</v>
      </c>
      <c r="P63" s="1029">
        <f t="shared" si="10"/>
        <v>0</v>
      </c>
      <c r="Q63" s="983">
        <f t="shared" si="11"/>
        <v>0</v>
      </c>
      <c r="R63" s="983">
        <f>'[16]Oct midyear JS Clark Academy'!P63</f>
        <v>0</v>
      </c>
      <c r="S63" s="983">
        <f t="shared" si="12"/>
        <v>0</v>
      </c>
      <c r="T63" s="983">
        <f t="shared" si="13"/>
        <v>0</v>
      </c>
      <c r="U63" s="984">
        <f t="shared" si="14"/>
        <v>0</v>
      </c>
      <c r="V63" s="984">
        <f t="shared" si="14"/>
        <v>0</v>
      </c>
    </row>
    <row r="64" spans="1:22">
      <c r="A64" s="960">
        <v>58</v>
      </c>
      <c r="B64" s="961" t="s">
        <v>149</v>
      </c>
      <c r="C64" s="1081">
        <f>'2-1-13 SIS'!P64</f>
        <v>0</v>
      </c>
      <c r="D64" s="966">
        <f>'Table 3 Levels 1&amp;2'!AL65</f>
        <v>5457.8662803476354</v>
      </c>
      <c r="E64" s="1013">
        <f t="shared" si="2"/>
        <v>0</v>
      </c>
      <c r="F64" s="1013">
        <f>'Table 4 Level 3'!P63</f>
        <v>697.04</v>
      </c>
      <c r="G64" s="1013">
        <f t="shared" si="3"/>
        <v>0</v>
      </c>
      <c r="H64" s="989">
        <f t="shared" si="4"/>
        <v>0</v>
      </c>
      <c r="I64" s="1023">
        <f t="shared" si="5"/>
        <v>0</v>
      </c>
      <c r="J64" s="989">
        <f t="shared" si="6"/>
        <v>0</v>
      </c>
      <c r="K64" s="989">
        <f>'[16]Oct midyear JS Clark Academy'!K64</f>
        <v>0</v>
      </c>
      <c r="L64" s="989">
        <f t="shared" si="7"/>
        <v>0</v>
      </c>
      <c r="M64" s="989">
        <f t="shared" si="8"/>
        <v>0</v>
      </c>
      <c r="N64" s="981">
        <f>'Table 5C1A-Madison Prep'!N64</f>
        <v>2105</v>
      </c>
      <c r="O64" s="983">
        <f t="shared" si="9"/>
        <v>0</v>
      </c>
      <c r="P64" s="1029">
        <f t="shared" si="10"/>
        <v>0</v>
      </c>
      <c r="Q64" s="983">
        <f t="shared" si="11"/>
        <v>0</v>
      </c>
      <c r="R64" s="983">
        <f>'[16]Oct midyear JS Clark Academy'!P64</f>
        <v>0</v>
      </c>
      <c r="S64" s="983">
        <f t="shared" si="12"/>
        <v>0</v>
      </c>
      <c r="T64" s="983">
        <f t="shared" si="13"/>
        <v>0</v>
      </c>
      <c r="U64" s="984">
        <f t="shared" si="14"/>
        <v>0</v>
      </c>
      <c r="V64" s="984">
        <f t="shared" si="14"/>
        <v>0</v>
      </c>
    </row>
    <row r="65" spans="1:22">
      <c r="A65" s="960">
        <v>59</v>
      </c>
      <c r="B65" s="961" t="s">
        <v>150</v>
      </c>
      <c r="C65" s="1081">
        <f>'2-1-13 SIS'!P65</f>
        <v>0</v>
      </c>
      <c r="D65" s="966">
        <f>'Table 3 Levels 1&amp;2'!AL66</f>
        <v>6274.2786338006481</v>
      </c>
      <c r="E65" s="1013">
        <f t="shared" si="2"/>
        <v>0</v>
      </c>
      <c r="F65" s="1013">
        <f>'Table 4 Level 3'!P64</f>
        <v>689.52</v>
      </c>
      <c r="G65" s="1013">
        <f t="shared" si="3"/>
        <v>0</v>
      </c>
      <c r="H65" s="989">
        <f t="shared" si="4"/>
        <v>0</v>
      </c>
      <c r="I65" s="1023">
        <f t="shared" si="5"/>
        <v>0</v>
      </c>
      <c r="J65" s="989">
        <f t="shared" si="6"/>
        <v>0</v>
      </c>
      <c r="K65" s="989">
        <f>'[16]Oct midyear JS Clark Academy'!K65</f>
        <v>0</v>
      </c>
      <c r="L65" s="989">
        <f t="shared" si="7"/>
        <v>0</v>
      </c>
      <c r="M65" s="989">
        <f t="shared" si="8"/>
        <v>0</v>
      </c>
      <c r="N65" s="981">
        <f>'Table 5C1A-Madison Prep'!N65</f>
        <v>1510</v>
      </c>
      <c r="O65" s="983">
        <f t="shared" si="9"/>
        <v>0</v>
      </c>
      <c r="P65" s="1029">
        <f t="shared" si="10"/>
        <v>0</v>
      </c>
      <c r="Q65" s="983">
        <f t="shared" si="11"/>
        <v>0</v>
      </c>
      <c r="R65" s="983">
        <f>'[16]Oct midyear JS Clark Academy'!P65</f>
        <v>0</v>
      </c>
      <c r="S65" s="983">
        <f t="shared" si="12"/>
        <v>0</v>
      </c>
      <c r="T65" s="983">
        <f t="shared" si="13"/>
        <v>0</v>
      </c>
      <c r="U65" s="984">
        <f t="shared" si="14"/>
        <v>0</v>
      </c>
      <c r="V65" s="984">
        <f t="shared" si="14"/>
        <v>0</v>
      </c>
    </row>
    <row r="66" spans="1:22">
      <c r="A66" s="963">
        <v>60</v>
      </c>
      <c r="B66" s="964" t="s">
        <v>151</v>
      </c>
      <c r="C66" s="1082">
        <f>'2-1-13 SIS'!P66</f>
        <v>0</v>
      </c>
      <c r="D66" s="967">
        <f>'Table 3 Levels 1&amp;2'!AL67</f>
        <v>4940.9166775610411</v>
      </c>
      <c r="E66" s="1014">
        <f t="shared" si="2"/>
        <v>0</v>
      </c>
      <c r="F66" s="1014">
        <f>'Table 4 Level 3'!P65</f>
        <v>594.04</v>
      </c>
      <c r="G66" s="1014">
        <f t="shared" si="3"/>
        <v>0</v>
      </c>
      <c r="H66" s="990">
        <f t="shared" si="4"/>
        <v>0</v>
      </c>
      <c r="I66" s="1024">
        <f t="shared" si="5"/>
        <v>0</v>
      </c>
      <c r="J66" s="990">
        <f t="shared" si="6"/>
        <v>0</v>
      </c>
      <c r="K66" s="990">
        <f>'[16]Oct midyear JS Clark Academy'!K66</f>
        <v>0</v>
      </c>
      <c r="L66" s="990">
        <f t="shared" si="7"/>
        <v>0</v>
      </c>
      <c r="M66" s="990">
        <f t="shared" si="8"/>
        <v>0</v>
      </c>
      <c r="N66" s="986">
        <f>'Table 5C1A-Madison Prep'!N66</f>
        <v>3793</v>
      </c>
      <c r="O66" s="987">
        <f t="shared" si="9"/>
        <v>0</v>
      </c>
      <c r="P66" s="1030">
        <f t="shared" si="10"/>
        <v>0</v>
      </c>
      <c r="Q66" s="987">
        <f t="shared" si="11"/>
        <v>0</v>
      </c>
      <c r="R66" s="987">
        <f>'[16]Oct midyear JS Clark Academy'!P66</f>
        <v>0</v>
      </c>
      <c r="S66" s="987">
        <f t="shared" si="12"/>
        <v>0</v>
      </c>
      <c r="T66" s="987">
        <f t="shared" si="13"/>
        <v>0</v>
      </c>
      <c r="U66" s="988">
        <f t="shared" si="14"/>
        <v>0</v>
      </c>
      <c r="V66" s="988">
        <f t="shared" si="14"/>
        <v>0</v>
      </c>
    </row>
    <row r="67" spans="1:22">
      <c r="A67" s="953">
        <v>61</v>
      </c>
      <c r="B67" s="954" t="s">
        <v>152</v>
      </c>
      <c r="C67" s="1083">
        <f>'2-1-13 SIS'!P67</f>
        <v>0</v>
      </c>
      <c r="D67" s="968">
        <f>'Table 3 Levels 1&amp;2'!AL68</f>
        <v>2908.0344869339228</v>
      </c>
      <c r="E67" s="1015">
        <f t="shared" si="2"/>
        <v>0</v>
      </c>
      <c r="F67" s="1015">
        <f>'Table 4 Level 3'!P66</f>
        <v>833.70999999999992</v>
      </c>
      <c r="G67" s="1015">
        <f t="shared" si="3"/>
        <v>0</v>
      </c>
      <c r="H67" s="991">
        <f t="shared" si="4"/>
        <v>0</v>
      </c>
      <c r="I67" s="1025">
        <f t="shared" si="5"/>
        <v>0</v>
      </c>
      <c r="J67" s="991">
        <f t="shared" si="6"/>
        <v>0</v>
      </c>
      <c r="K67" s="991">
        <f>'[16]Oct midyear JS Clark Academy'!K67</f>
        <v>0</v>
      </c>
      <c r="L67" s="991">
        <f t="shared" si="7"/>
        <v>0</v>
      </c>
      <c r="M67" s="991">
        <f t="shared" si="8"/>
        <v>0</v>
      </c>
      <c r="N67" s="981">
        <f>'Table 5C1A-Madison Prep'!N67</f>
        <v>6570</v>
      </c>
      <c r="O67" s="958">
        <f t="shared" si="9"/>
        <v>0</v>
      </c>
      <c r="P67" s="1028">
        <f t="shared" si="10"/>
        <v>0</v>
      </c>
      <c r="Q67" s="958">
        <f t="shared" si="11"/>
        <v>0</v>
      </c>
      <c r="R67" s="958">
        <f>'[16]Oct midyear JS Clark Academy'!P67</f>
        <v>0</v>
      </c>
      <c r="S67" s="958">
        <f t="shared" si="12"/>
        <v>0</v>
      </c>
      <c r="T67" s="958">
        <f t="shared" si="13"/>
        <v>0</v>
      </c>
      <c r="U67" s="959">
        <f t="shared" si="14"/>
        <v>0</v>
      </c>
      <c r="V67" s="959">
        <f t="shared" si="14"/>
        <v>0</v>
      </c>
    </row>
    <row r="68" spans="1:22">
      <c r="A68" s="960">
        <v>62</v>
      </c>
      <c r="B68" s="961" t="s">
        <v>153</v>
      </c>
      <c r="C68" s="1081">
        <f>'2-1-13 SIS'!P68</f>
        <v>0</v>
      </c>
      <c r="D68" s="966">
        <f>'Table 3 Levels 1&amp;2'!AL69</f>
        <v>5652.1730736722093</v>
      </c>
      <c r="E68" s="1013">
        <f t="shared" si="2"/>
        <v>0</v>
      </c>
      <c r="F68" s="1013">
        <f>'Table 4 Level 3'!P67</f>
        <v>516.08000000000004</v>
      </c>
      <c r="G68" s="1013">
        <f t="shared" si="3"/>
        <v>0</v>
      </c>
      <c r="H68" s="989">
        <f t="shared" si="4"/>
        <v>0</v>
      </c>
      <c r="I68" s="1023">
        <f t="shared" si="5"/>
        <v>0</v>
      </c>
      <c r="J68" s="989">
        <f t="shared" si="6"/>
        <v>0</v>
      </c>
      <c r="K68" s="989">
        <f>'[16]Oct midyear JS Clark Academy'!K68</f>
        <v>0</v>
      </c>
      <c r="L68" s="989">
        <f t="shared" si="7"/>
        <v>0</v>
      </c>
      <c r="M68" s="989">
        <f t="shared" si="8"/>
        <v>0</v>
      </c>
      <c r="N68" s="981">
        <f>'Table 5C1A-Madison Prep'!N68</f>
        <v>1934</v>
      </c>
      <c r="O68" s="983">
        <f t="shared" si="9"/>
        <v>0</v>
      </c>
      <c r="P68" s="1029">
        <f t="shared" si="10"/>
        <v>0</v>
      </c>
      <c r="Q68" s="983">
        <f t="shared" si="11"/>
        <v>0</v>
      </c>
      <c r="R68" s="983">
        <f>'[16]Oct midyear JS Clark Academy'!P68</f>
        <v>0</v>
      </c>
      <c r="S68" s="983">
        <f t="shared" si="12"/>
        <v>0</v>
      </c>
      <c r="T68" s="983">
        <f t="shared" si="13"/>
        <v>0</v>
      </c>
      <c r="U68" s="984">
        <f t="shared" si="14"/>
        <v>0</v>
      </c>
      <c r="V68" s="984">
        <f t="shared" si="14"/>
        <v>0</v>
      </c>
    </row>
    <row r="69" spans="1:22">
      <c r="A69" s="960">
        <v>63</v>
      </c>
      <c r="B69" s="961" t="s">
        <v>154</v>
      </c>
      <c r="C69" s="1081">
        <f>'2-1-13 SIS'!P69</f>
        <v>0</v>
      </c>
      <c r="D69" s="966">
        <f>'Table 3 Levels 1&amp;2'!AL70</f>
        <v>4362.300753810403</v>
      </c>
      <c r="E69" s="1013">
        <f t="shared" si="2"/>
        <v>0</v>
      </c>
      <c r="F69" s="1013">
        <f>'Table 4 Level 3'!P68</f>
        <v>756.79</v>
      </c>
      <c r="G69" s="1013">
        <f t="shared" si="3"/>
        <v>0</v>
      </c>
      <c r="H69" s="989">
        <f t="shared" si="4"/>
        <v>0</v>
      </c>
      <c r="I69" s="1023">
        <f t="shared" si="5"/>
        <v>0</v>
      </c>
      <c r="J69" s="989">
        <f t="shared" si="6"/>
        <v>0</v>
      </c>
      <c r="K69" s="989">
        <f>'[16]Oct midyear JS Clark Academy'!K69</f>
        <v>0</v>
      </c>
      <c r="L69" s="989">
        <f t="shared" si="7"/>
        <v>0</v>
      </c>
      <c r="M69" s="989">
        <f t="shared" si="8"/>
        <v>0</v>
      </c>
      <c r="N69" s="981">
        <f>'Table 5C1A-Madison Prep'!N69</f>
        <v>6787</v>
      </c>
      <c r="O69" s="983">
        <f t="shared" si="9"/>
        <v>0</v>
      </c>
      <c r="P69" s="1029">
        <f t="shared" si="10"/>
        <v>0</v>
      </c>
      <c r="Q69" s="983">
        <f t="shared" si="11"/>
        <v>0</v>
      </c>
      <c r="R69" s="983">
        <f>'[16]Oct midyear JS Clark Academy'!P69</f>
        <v>0</v>
      </c>
      <c r="S69" s="983">
        <f t="shared" si="12"/>
        <v>0</v>
      </c>
      <c r="T69" s="983">
        <f t="shared" si="13"/>
        <v>0</v>
      </c>
      <c r="U69" s="984">
        <f t="shared" si="14"/>
        <v>0</v>
      </c>
      <c r="V69" s="984">
        <f t="shared" si="14"/>
        <v>0</v>
      </c>
    </row>
    <row r="70" spans="1:22">
      <c r="A70" s="960">
        <v>64</v>
      </c>
      <c r="B70" s="961" t="s">
        <v>155</v>
      </c>
      <c r="C70" s="1081">
        <f>'2-1-13 SIS'!P70</f>
        <v>0</v>
      </c>
      <c r="D70" s="966">
        <f>'Table 3 Levels 1&amp;2'!AL71</f>
        <v>5960.2049072003338</v>
      </c>
      <c r="E70" s="1013">
        <f t="shared" si="2"/>
        <v>0</v>
      </c>
      <c r="F70" s="1013">
        <f>'Table 4 Level 3'!P69</f>
        <v>592.66</v>
      </c>
      <c r="G70" s="1013">
        <f t="shared" si="3"/>
        <v>0</v>
      </c>
      <c r="H70" s="989">
        <f t="shared" si="4"/>
        <v>0</v>
      </c>
      <c r="I70" s="1023">
        <f t="shared" si="5"/>
        <v>0</v>
      </c>
      <c r="J70" s="989">
        <f t="shared" si="6"/>
        <v>0</v>
      </c>
      <c r="K70" s="989">
        <f>'[16]Oct midyear JS Clark Academy'!K70</f>
        <v>0</v>
      </c>
      <c r="L70" s="989">
        <f t="shared" si="7"/>
        <v>0</v>
      </c>
      <c r="M70" s="989">
        <f t="shared" si="8"/>
        <v>0</v>
      </c>
      <c r="N70" s="981">
        <f>'Table 5C1A-Madison Prep'!N70</f>
        <v>2901</v>
      </c>
      <c r="O70" s="983">
        <f t="shared" si="9"/>
        <v>0</v>
      </c>
      <c r="P70" s="1029">
        <f t="shared" si="10"/>
        <v>0</v>
      </c>
      <c r="Q70" s="983">
        <f t="shared" si="11"/>
        <v>0</v>
      </c>
      <c r="R70" s="983">
        <f>'[16]Oct midyear JS Clark Academy'!P70</f>
        <v>0</v>
      </c>
      <c r="S70" s="983">
        <f t="shared" si="12"/>
        <v>0</v>
      </c>
      <c r="T70" s="983">
        <f t="shared" si="13"/>
        <v>0</v>
      </c>
      <c r="U70" s="984">
        <f t="shared" si="14"/>
        <v>0</v>
      </c>
      <c r="V70" s="984">
        <f t="shared" si="14"/>
        <v>0</v>
      </c>
    </row>
    <row r="71" spans="1:22">
      <c r="A71" s="963">
        <v>65</v>
      </c>
      <c r="B71" s="964" t="s">
        <v>156</v>
      </c>
      <c r="C71" s="1082">
        <f>'2-1-13 SIS'!P71</f>
        <v>0</v>
      </c>
      <c r="D71" s="967">
        <f>'Table 3 Levels 1&amp;2'!AL72</f>
        <v>4579.2772303106676</v>
      </c>
      <c r="E71" s="1014">
        <f t="shared" si="2"/>
        <v>0</v>
      </c>
      <c r="F71" s="1014">
        <f>'Table 4 Level 3'!P70</f>
        <v>829.12</v>
      </c>
      <c r="G71" s="1014">
        <f t="shared" si="3"/>
        <v>0</v>
      </c>
      <c r="H71" s="990">
        <f t="shared" si="4"/>
        <v>0</v>
      </c>
      <c r="I71" s="1024">
        <f t="shared" si="5"/>
        <v>0</v>
      </c>
      <c r="J71" s="990">
        <f t="shared" si="6"/>
        <v>0</v>
      </c>
      <c r="K71" s="990">
        <f>'[16]Oct midyear JS Clark Academy'!K71</f>
        <v>0</v>
      </c>
      <c r="L71" s="990">
        <f t="shared" si="7"/>
        <v>0</v>
      </c>
      <c r="M71" s="990">
        <f t="shared" si="8"/>
        <v>0</v>
      </c>
      <c r="N71" s="986">
        <f>'Table 5C1A-Madison Prep'!N71</f>
        <v>5001</v>
      </c>
      <c r="O71" s="987">
        <f t="shared" si="9"/>
        <v>0</v>
      </c>
      <c r="P71" s="1030">
        <f t="shared" si="10"/>
        <v>0</v>
      </c>
      <c r="Q71" s="987">
        <f t="shared" si="11"/>
        <v>0</v>
      </c>
      <c r="R71" s="987">
        <f>'[16]Oct midyear JS Clark Academy'!P71</f>
        <v>0</v>
      </c>
      <c r="S71" s="987">
        <f t="shared" si="12"/>
        <v>0</v>
      </c>
      <c r="T71" s="987">
        <f t="shared" si="13"/>
        <v>0</v>
      </c>
      <c r="U71" s="988">
        <f t="shared" si="14"/>
        <v>0</v>
      </c>
      <c r="V71" s="988">
        <f t="shared" si="14"/>
        <v>0</v>
      </c>
    </row>
    <row r="72" spans="1:22">
      <c r="A72" s="953">
        <v>66</v>
      </c>
      <c r="B72" s="954" t="s">
        <v>157</v>
      </c>
      <c r="C72" s="1083">
        <f>'2-1-13 SIS'!P72</f>
        <v>0</v>
      </c>
      <c r="D72" s="968">
        <f>'Table 3 Levels 1&amp;2'!AL73</f>
        <v>6370.8108195713585</v>
      </c>
      <c r="E72" s="1015">
        <f t="shared" ref="E72:E75" si="15">C72*D72</f>
        <v>0</v>
      </c>
      <c r="F72" s="1015">
        <f>'Table 4 Level 3'!P71</f>
        <v>730.06</v>
      </c>
      <c r="G72" s="1015">
        <f t="shared" ref="G72:G75" si="16">C72*F72</f>
        <v>0</v>
      </c>
      <c r="H72" s="991">
        <f t="shared" ref="H72:H75" si="17">E72+G72</f>
        <v>0</v>
      </c>
      <c r="I72" s="1025">
        <f t="shared" ref="I72:I75" si="18">-(0.25%*H72)</f>
        <v>0</v>
      </c>
      <c r="J72" s="991">
        <f t="shared" ref="J72:J75" si="19">SUM(H72:I72)</f>
        <v>0</v>
      </c>
      <c r="K72" s="991">
        <f>'[16]Oct midyear JS Clark Academy'!K72</f>
        <v>0</v>
      </c>
      <c r="L72" s="991">
        <f t="shared" ref="L72:L75" si="20">SUM(J72:K72)</f>
        <v>0</v>
      </c>
      <c r="M72" s="991">
        <f t="shared" ref="M72:M75" si="21">L72/12</f>
        <v>0</v>
      </c>
      <c r="N72" s="981">
        <f>'Table 5C1A-Madison Prep'!N72</f>
        <v>3415</v>
      </c>
      <c r="O72" s="958">
        <f t="shared" ref="O72:O75" si="22">C72*N72</f>
        <v>0</v>
      </c>
      <c r="P72" s="1028">
        <f t="shared" ref="P72:P75" si="23">-(0.25%*O72)</f>
        <v>0</v>
      </c>
      <c r="Q72" s="958">
        <f t="shared" ref="Q72:Q75" si="24">SUM(O72:P72)</f>
        <v>0</v>
      </c>
      <c r="R72" s="958">
        <f>'[16]Oct midyear JS Clark Academy'!P72</f>
        <v>0</v>
      </c>
      <c r="S72" s="958">
        <f t="shared" ref="S72:S75" si="25">SUM(Q72:R72)</f>
        <v>0</v>
      </c>
      <c r="T72" s="958">
        <f t="shared" ref="T72:T75" si="26">S72/12</f>
        <v>0</v>
      </c>
      <c r="U72" s="959">
        <f t="shared" ref="U72:V75" si="27">L72+S72</f>
        <v>0</v>
      </c>
      <c r="V72" s="959">
        <f t="shared" si="27"/>
        <v>0</v>
      </c>
    </row>
    <row r="73" spans="1:22">
      <c r="A73" s="960">
        <v>67</v>
      </c>
      <c r="B73" s="961" t="s">
        <v>32</v>
      </c>
      <c r="C73" s="1081">
        <f>'2-1-13 SIS'!P73</f>
        <v>0</v>
      </c>
      <c r="D73" s="966">
        <f>'Table 3 Levels 1&amp;2'!AL74</f>
        <v>4951.6009932106244</v>
      </c>
      <c r="E73" s="1013">
        <f t="shared" si="15"/>
        <v>0</v>
      </c>
      <c r="F73" s="1013">
        <f>'Table 4 Level 3'!P72</f>
        <v>715.61</v>
      </c>
      <c r="G73" s="1013">
        <f t="shared" si="16"/>
        <v>0</v>
      </c>
      <c r="H73" s="989">
        <f t="shared" si="17"/>
        <v>0</v>
      </c>
      <c r="I73" s="1023">
        <f t="shared" si="18"/>
        <v>0</v>
      </c>
      <c r="J73" s="989">
        <f t="shared" si="19"/>
        <v>0</v>
      </c>
      <c r="K73" s="989">
        <f>'[16]Oct midyear JS Clark Academy'!K73</f>
        <v>0</v>
      </c>
      <c r="L73" s="989">
        <f t="shared" si="20"/>
        <v>0</v>
      </c>
      <c r="M73" s="989">
        <f t="shared" si="21"/>
        <v>0</v>
      </c>
      <c r="N73" s="981">
        <f>'Table 5C1A-Madison Prep'!N73</f>
        <v>5221</v>
      </c>
      <c r="O73" s="983">
        <f t="shared" si="22"/>
        <v>0</v>
      </c>
      <c r="P73" s="1029">
        <f t="shared" si="23"/>
        <v>0</v>
      </c>
      <c r="Q73" s="983">
        <f t="shared" si="24"/>
        <v>0</v>
      </c>
      <c r="R73" s="983">
        <f>'[16]Oct midyear JS Clark Academy'!P73</f>
        <v>0</v>
      </c>
      <c r="S73" s="983">
        <f t="shared" si="25"/>
        <v>0</v>
      </c>
      <c r="T73" s="983">
        <f t="shared" si="26"/>
        <v>0</v>
      </c>
      <c r="U73" s="984">
        <f t="shared" si="27"/>
        <v>0</v>
      </c>
      <c r="V73" s="984">
        <f t="shared" si="27"/>
        <v>0</v>
      </c>
    </row>
    <row r="74" spans="1:22">
      <c r="A74" s="960">
        <v>68</v>
      </c>
      <c r="B74" s="961" t="s">
        <v>30</v>
      </c>
      <c r="C74" s="1081">
        <f>'2-1-13 SIS'!P74</f>
        <v>0</v>
      </c>
      <c r="D74" s="966">
        <f>'Table 3 Levels 1&amp;2'!AL75</f>
        <v>6077.2398733698947</v>
      </c>
      <c r="E74" s="1013">
        <f t="shared" si="15"/>
        <v>0</v>
      </c>
      <c r="F74" s="1013">
        <f>'Table 4 Level 3'!P73</f>
        <v>798.7</v>
      </c>
      <c r="G74" s="1013">
        <f t="shared" si="16"/>
        <v>0</v>
      </c>
      <c r="H74" s="989">
        <f t="shared" si="17"/>
        <v>0</v>
      </c>
      <c r="I74" s="1023">
        <f t="shared" si="18"/>
        <v>0</v>
      </c>
      <c r="J74" s="989">
        <f t="shared" si="19"/>
        <v>0</v>
      </c>
      <c r="K74" s="989">
        <f>'[16]Oct midyear JS Clark Academy'!K74</f>
        <v>0</v>
      </c>
      <c r="L74" s="989">
        <f t="shared" si="20"/>
        <v>0</v>
      </c>
      <c r="M74" s="989">
        <f t="shared" si="21"/>
        <v>0</v>
      </c>
      <c r="N74" s="981">
        <f>'Table 5C1A-Madison Prep'!N74</f>
        <v>2680</v>
      </c>
      <c r="O74" s="983">
        <f t="shared" si="22"/>
        <v>0</v>
      </c>
      <c r="P74" s="1029">
        <f t="shared" si="23"/>
        <v>0</v>
      </c>
      <c r="Q74" s="983">
        <f t="shared" si="24"/>
        <v>0</v>
      </c>
      <c r="R74" s="983">
        <f>'[16]Oct midyear JS Clark Academy'!P74</f>
        <v>0</v>
      </c>
      <c r="S74" s="983">
        <f t="shared" si="25"/>
        <v>0</v>
      </c>
      <c r="T74" s="983">
        <f t="shared" si="26"/>
        <v>0</v>
      </c>
      <c r="U74" s="984">
        <f t="shared" si="27"/>
        <v>0</v>
      </c>
      <c r="V74" s="984">
        <f t="shared" si="27"/>
        <v>0</v>
      </c>
    </row>
    <row r="75" spans="1:22">
      <c r="A75" s="969">
        <v>69</v>
      </c>
      <c r="B75" s="970" t="s">
        <v>208</v>
      </c>
      <c r="C75" s="1084">
        <f>'2-1-13 SIS'!P75</f>
        <v>0</v>
      </c>
      <c r="D75" s="971">
        <f>'Table 3 Levels 1&amp;2'!AL76</f>
        <v>5585.8253106686579</v>
      </c>
      <c r="E75" s="1016">
        <f t="shared" si="15"/>
        <v>0</v>
      </c>
      <c r="F75" s="1016">
        <f>'Table 4 Level 3'!P74</f>
        <v>705.67</v>
      </c>
      <c r="G75" s="1016">
        <f t="shared" si="16"/>
        <v>0</v>
      </c>
      <c r="H75" s="992">
        <f t="shared" si="17"/>
        <v>0</v>
      </c>
      <c r="I75" s="1026">
        <f t="shared" si="18"/>
        <v>0</v>
      </c>
      <c r="J75" s="992">
        <f t="shared" si="19"/>
        <v>0</v>
      </c>
      <c r="K75" s="992">
        <f>'[16]Oct midyear JS Clark Academy'!K75</f>
        <v>0</v>
      </c>
      <c r="L75" s="992">
        <f t="shared" si="20"/>
        <v>0</v>
      </c>
      <c r="M75" s="992">
        <f t="shared" si="21"/>
        <v>0</v>
      </c>
      <c r="N75" s="981">
        <f>'Table 5C1A-Madison Prep'!N75</f>
        <v>3263</v>
      </c>
      <c r="O75" s="993">
        <f t="shared" si="22"/>
        <v>0</v>
      </c>
      <c r="P75" s="1031">
        <f t="shared" si="23"/>
        <v>0</v>
      </c>
      <c r="Q75" s="993">
        <f t="shared" si="24"/>
        <v>0</v>
      </c>
      <c r="R75" s="993">
        <f>'[16]Oct midyear JS Clark Academy'!P75</f>
        <v>0</v>
      </c>
      <c r="S75" s="993">
        <f t="shared" si="25"/>
        <v>0</v>
      </c>
      <c r="T75" s="993">
        <f t="shared" si="26"/>
        <v>0</v>
      </c>
      <c r="U75" s="994">
        <f t="shared" si="27"/>
        <v>0</v>
      </c>
      <c r="V75" s="994">
        <f t="shared" si="27"/>
        <v>0</v>
      </c>
    </row>
    <row r="76" spans="1:22" ht="13.5" thickBot="1">
      <c r="A76" s="972"/>
      <c r="B76" s="973" t="s">
        <v>158</v>
      </c>
      <c r="C76" s="974">
        <f>SUM(C7:C75)</f>
        <v>168</v>
      </c>
      <c r="D76" s="975"/>
      <c r="E76" s="1017">
        <f>SUM(E7:E75)</f>
        <v>810893.61536840198</v>
      </c>
      <c r="F76" s="1017">
        <f>'Table 4 Level 3'!P75</f>
        <v>704.49059912051428</v>
      </c>
      <c r="G76" s="1017">
        <f t="shared" ref="G76:L76" si="28">SUM(G7:G75)</f>
        <v>96625.87999999999</v>
      </c>
      <c r="H76" s="976">
        <f t="shared" si="28"/>
        <v>907519.49536840199</v>
      </c>
      <c r="I76" s="1027">
        <f t="shared" si="28"/>
        <v>-2268.7987384210051</v>
      </c>
      <c r="J76" s="976">
        <f t="shared" si="28"/>
        <v>905250.69662998093</v>
      </c>
      <c r="K76" s="976">
        <f t="shared" si="28"/>
        <v>5393.6121863971766</v>
      </c>
      <c r="L76" s="976">
        <f t="shared" si="28"/>
        <v>910644.30881637812</v>
      </c>
      <c r="M76" s="976">
        <f>SUM(M7:M75)</f>
        <v>75887.025734698182</v>
      </c>
      <c r="N76" s="995">
        <f>'Table 5C1A-Madison Prep'!N76</f>
        <v>4503</v>
      </c>
      <c r="O76" s="977">
        <f t="shared" ref="O76:V76" si="29">SUM(O7:O75)</f>
        <v>387290</v>
      </c>
      <c r="P76" s="1032">
        <f t="shared" si="29"/>
        <v>-968.22500000000002</v>
      </c>
      <c r="Q76" s="977">
        <f t="shared" si="29"/>
        <v>386321.77499999997</v>
      </c>
      <c r="R76" s="977">
        <f t="shared" si="29"/>
        <v>2345</v>
      </c>
      <c r="S76" s="977">
        <f t="shared" si="29"/>
        <v>388666.77499999997</v>
      </c>
      <c r="T76" s="977">
        <f t="shared" si="29"/>
        <v>32388.897916666665</v>
      </c>
      <c r="U76" s="978">
        <f t="shared" si="29"/>
        <v>1299311.0838163779</v>
      </c>
      <c r="V76" s="978">
        <f t="shared" si="29"/>
        <v>108275.92365136484</v>
      </c>
    </row>
    <row r="77" spans="1:22" ht="13.5" thickTop="1"/>
  </sheetData>
  <mergeCells count="19">
    <mergeCell ref="A2:B4"/>
    <mergeCell ref="C2:M2"/>
    <mergeCell ref="N2:T2"/>
    <mergeCell ref="U2:U4"/>
    <mergeCell ref="V2:V4"/>
    <mergeCell ref="C3:C4"/>
    <mergeCell ref="D3:D4"/>
    <mergeCell ref="E3:E4"/>
    <mergeCell ref="F3:F4"/>
    <mergeCell ref="G3:G4"/>
    <mergeCell ref="Q3:Q4"/>
    <mergeCell ref="R3:R4"/>
    <mergeCell ref="S3:S4"/>
    <mergeCell ref="H3:H4"/>
    <mergeCell ref="J3:J4"/>
    <mergeCell ref="K3:K4"/>
    <mergeCell ref="L3:L4"/>
    <mergeCell ref="M3:M4"/>
    <mergeCell ref="N3:N4"/>
  </mergeCells>
  <pageMargins left="0.36" right="0.42" top="0.75" bottom="0.75" header="0.3" footer="0.3"/>
  <pageSetup paperSize="5" scale="60" firstPageNumber="62" orientation="portrait" useFirstPageNumber="1" r:id="rId1"/>
  <headerFooter>
    <oddHeader>&amp;L&amp;"Arial,Bold"&amp;20Table 5C1-G: FY2013-14 MFP Budget Letter 
J.S. Clark Leadership  Academy</oddHeader>
    <oddFooter>&amp;R&amp;P</oddFooter>
  </headerFooter>
  <colBreaks count="1" manualBreakCount="1">
    <brk id="13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view="pageBreakPreview" zoomScale="90" zoomScaleNormal="100" zoomScaleSheetLayoutView="90" workbookViewId="0">
      <pane xSplit="2" ySplit="6" topLeftCell="K7" activePane="bottomRight" state="frozen"/>
      <selection activeCell="A2" sqref="A2:B4"/>
      <selection pane="topRight" activeCell="A2" sqref="A2:B4"/>
      <selection pane="bottomLeft" activeCell="A2" sqref="A2:B4"/>
      <selection pane="bottomRight" activeCell="N8" sqref="N8:N76"/>
    </sheetView>
  </sheetViews>
  <sheetFormatPr defaultRowHeight="12.75"/>
  <cols>
    <col min="1" max="1" width="4.28515625" customWidth="1"/>
    <col min="2" max="2" width="17.85546875" bestFit="1" customWidth="1"/>
    <col min="3" max="3" width="12.5703125" customWidth="1"/>
    <col min="4" max="4" width="17" customWidth="1"/>
    <col min="5" max="5" width="11.140625" customWidth="1"/>
    <col min="6" max="6" width="12" customWidth="1"/>
    <col min="7" max="7" width="13.28515625" customWidth="1"/>
    <col min="8" max="8" width="14.5703125" customWidth="1"/>
    <col min="9" max="9" width="12.28515625" customWidth="1"/>
    <col min="10" max="10" width="12" bestFit="1" customWidth="1"/>
    <col min="11" max="11" width="13.42578125" bestFit="1" customWidth="1"/>
    <col min="12" max="12" width="14" customWidth="1"/>
    <col min="13" max="13" width="9.28515625" bestFit="1" customWidth="1"/>
    <col min="14" max="14" width="17.28515625" customWidth="1"/>
    <col min="15" max="15" width="16.7109375" customWidth="1"/>
    <col min="16" max="16" width="13.7109375" customWidth="1"/>
    <col min="17" max="17" width="17" customWidth="1"/>
    <col min="18" max="18" width="15.28515625" customWidth="1"/>
    <col min="19" max="19" width="13.140625" customWidth="1"/>
    <col min="20" max="20" width="12" customWidth="1"/>
    <col min="21" max="21" width="11" customWidth="1"/>
    <col min="22" max="22" width="12.140625" customWidth="1"/>
  </cols>
  <sheetData>
    <row r="1" spans="1:22"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:22" ht="45" customHeight="1">
      <c r="A2" s="1711" t="s">
        <v>520</v>
      </c>
      <c r="B2" s="1712"/>
      <c r="C2" s="1718" t="s">
        <v>686</v>
      </c>
      <c r="D2" s="1719"/>
      <c r="E2" s="1719"/>
      <c r="F2" s="1719"/>
      <c r="G2" s="1719"/>
      <c r="H2" s="1719"/>
      <c r="I2" s="1719"/>
      <c r="J2" s="1719"/>
      <c r="K2" s="1719"/>
      <c r="L2" s="1719"/>
      <c r="M2" s="1720"/>
      <c r="N2" s="1700" t="s">
        <v>656</v>
      </c>
      <c r="O2" s="1701"/>
      <c r="P2" s="1701"/>
      <c r="Q2" s="1701"/>
      <c r="R2" s="1701"/>
      <c r="S2" s="1701"/>
      <c r="T2" s="1702"/>
      <c r="U2" s="1703" t="s">
        <v>695</v>
      </c>
      <c r="V2" s="1703" t="s">
        <v>654</v>
      </c>
    </row>
    <row r="3" spans="1:22" ht="119.25" customHeight="1">
      <c r="A3" s="1713"/>
      <c r="B3" s="1714"/>
      <c r="C3" s="1706" t="s">
        <v>588</v>
      </c>
      <c r="D3" s="1717" t="s">
        <v>744</v>
      </c>
      <c r="E3" s="1717" t="s">
        <v>687</v>
      </c>
      <c r="F3" s="1706" t="s">
        <v>501</v>
      </c>
      <c r="G3" s="1706" t="s">
        <v>445</v>
      </c>
      <c r="H3" s="1706" t="s">
        <v>688</v>
      </c>
      <c r="I3" s="1104" t="s">
        <v>456</v>
      </c>
      <c r="J3" s="1706" t="s">
        <v>689</v>
      </c>
      <c r="K3" s="1706" t="s">
        <v>967</v>
      </c>
      <c r="L3" s="1706" t="s">
        <v>690</v>
      </c>
      <c r="M3" s="1717" t="s">
        <v>655</v>
      </c>
      <c r="N3" s="1709" t="s">
        <v>527</v>
      </c>
      <c r="O3" s="1278" t="s">
        <v>691</v>
      </c>
      <c r="P3" s="1106" t="s">
        <v>457</v>
      </c>
      <c r="Q3" s="1709" t="s">
        <v>692</v>
      </c>
      <c r="R3" s="1709" t="s">
        <v>967</v>
      </c>
      <c r="S3" s="1709" t="s">
        <v>693</v>
      </c>
      <c r="T3" s="1278" t="s">
        <v>694</v>
      </c>
      <c r="U3" s="1704"/>
      <c r="V3" s="1704"/>
    </row>
    <row r="4" spans="1:22" ht="22.5" customHeight="1">
      <c r="A4" s="1715"/>
      <c r="B4" s="1716"/>
      <c r="C4" s="1707"/>
      <c r="D4" s="1717"/>
      <c r="E4" s="1717"/>
      <c r="F4" s="1707"/>
      <c r="G4" s="1707"/>
      <c r="H4" s="1707"/>
      <c r="I4" s="1018">
        <v>2.5000000000000001E-3</v>
      </c>
      <c r="J4" s="1707"/>
      <c r="K4" s="1707"/>
      <c r="L4" s="1707"/>
      <c r="M4" s="1717"/>
      <c r="N4" s="1710"/>
      <c r="O4" s="1105"/>
      <c r="P4" s="1019">
        <v>2.5000000000000001E-3</v>
      </c>
      <c r="Q4" s="1710"/>
      <c r="R4" s="1710"/>
      <c r="S4" s="1710"/>
      <c r="T4" s="1105"/>
      <c r="U4" s="1705"/>
      <c r="V4" s="1705"/>
    </row>
    <row r="5" spans="1:22" ht="14.25" customHeight="1">
      <c r="A5" s="950"/>
      <c r="B5" s="951"/>
      <c r="C5" s="952">
        <v>1</v>
      </c>
      <c r="D5" s="952">
        <f t="shared" ref="D5" si="0">C5+1</f>
        <v>2</v>
      </c>
      <c r="E5" s="952">
        <f>D5+1</f>
        <v>3</v>
      </c>
      <c r="F5" s="952">
        <f t="shared" ref="F5:V5" si="1">E5+1</f>
        <v>4</v>
      </c>
      <c r="G5" s="952">
        <f t="shared" si="1"/>
        <v>5</v>
      </c>
      <c r="H5" s="952">
        <f t="shared" si="1"/>
        <v>6</v>
      </c>
      <c r="I5" s="952">
        <f t="shared" si="1"/>
        <v>7</v>
      </c>
      <c r="J5" s="952">
        <f t="shared" si="1"/>
        <v>8</v>
      </c>
      <c r="K5" s="952">
        <f t="shared" si="1"/>
        <v>9</v>
      </c>
      <c r="L5" s="952">
        <f t="shared" si="1"/>
        <v>10</v>
      </c>
      <c r="M5" s="952">
        <f t="shared" si="1"/>
        <v>11</v>
      </c>
      <c r="N5" s="952">
        <f t="shared" si="1"/>
        <v>12</v>
      </c>
      <c r="O5" s="952">
        <f t="shared" si="1"/>
        <v>13</v>
      </c>
      <c r="P5" s="952">
        <f t="shared" si="1"/>
        <v>14</v>
      </c>
      <c r="Q5" s="952">
        <f t="shared" si="1"/>
        <v>15</v>
      </c>
      <c r="R5" s="952">
        <f t="shared" si="1"/>
        <v>16</v>
      </c>
      <c r="S5" s="952">
        <f t="shared" si="1"/>
        <v>17</v>
      </c>
      <c r="T5" s="952">
        <f t="shared" si="1"/>
        <v>18</v>
      </c>
      <c r="U5" s="952">
        <f t="shared" si="1"/>
        <v>19</v>
      </c>
      <c r="V5" s="952">
        <f t="shared" si="1"/>
        <v>20</v>
      </c>
    </row>
    <row r="6" spans="1:22" ht="27" customHeight="1">
      <c r="A6" s="979"/>
      <c r="B6" s="980"/>
      <c r="C6" s="980"/>
      <c r="D6" s="980"/>
      <c r="E6" s="980"/>
      <c r="F6" s="980"/>
      <c r="G6" s="980"/>
      <c r="H6" s="980"/>
      <c r="I6" s="980"/>
      <c r="J6" s="980"/>
      <c r="K6" s="980"/>
      <c r="L6" s="980"/>
      <c r="M6" s="980"/>
      <c r="N6" s="980"/>
      <c r="O6" s="980"/>
      <c r="P6" s="980"/>
      <c r="Q6" s="980"/>
      <c r="R6" s="980"/>
      <c r="S6" s="980"/>
      <c r="T6" s="980"/>
      <c r="U6" s="980"/>
      <c r="V6" s="980"/>
    </row>
    <row r="7" spans="1:22">
      <c r="A7" s="953">
        <v>1</v>
      </c>
      <c r="B7" s="954" t="s">
        <v>93</v>
      </c>
      <c r="C7" s="955">
        <f>'2-1-13 SIS'!G7</f>
        <v>0</v>
      </c>
      <c r="D7" s="956">
        <f>'Table 3 Levels 1&amp;2'!AL8</f>
        <v>4597.5882673899441</v>
      </c>
      <c r="E7" s="1010">
        <f>C7*D7</f>
        <v>0</v>
      </c>
      <c r="F7" s="1010">
        <f>'Table 4 Level 3'!P6</f>
        <v>777.48</v>
      </c>
      <c r="G7" s="1010">
        <f>C7*F7</f>
        <v>0</v>
      </c>
      <c r="H7" s="957">
        <f>E7+G7</f>
        <v>0</v>
      </c>
      <c r="I7" s="1020">
        <f>-(0.25%*H7)</f>
        <v>0</v>
      </c>
      <c r="J7" s="957">
        <f>SUM(H7:I7)</f>
        <v>0</v>
      </c>
      <c r="K7" s="957">
        <v>0</v>
      </c>
      <c r="L7" s="957">
        <f>SUM(J7:K7)</f>
        <v>0</v>
      </c>
      <c r="M7" s="957">
        <f>L7/12</f>
        <v>0</v>
      </c>
      <c r="N7" s="981">
        <f>'Table 5C1A-Madison Prep'!N7</f>
        <v>2168</v>
      </c>
      <c r="O7" s="958">
        <f>C7*N7</f>
        <v>0</v>
      </c>
      <c r="P7" s="1028">
        <f>-(0.25%*O7)</f>
        <v>0</v>
      </c>
      <c r="Q7" s="958">
        <f>SUM(O7:P7)</f>
        <v>0</v>
      </c>
      <c r="R7" s="958">
        <v>0</v>
      </c>
      <c r="S7" s="958">
        <f>SUM(Q7:R7)</f>
        <v>0</v>
      </c>
      <c r="T7" s="958">
        <f>S7/12</f>
        <v>0</v>
      </c>
      <c r="U7" s="959">
        <f>L7+S7</f>
        <v>0</v>
      </c>
      <c r="V7" s="959">
        <f>M7+T7</f>
        <v>0</v>
      </c>
    </row>
    <row r="8" spans="1:22">
      <c r="A8" s="960">
        <v>2</v>
      </c>
      <c r="B8" s="961" t="s">
        <v>94</v>
      </c>
      <c r="C8" s="1078">
        <f>'2-1-13 SIS'!G8</f>
        <v>0</v>
      </c>
      <c r="D8" s="962">
        <f>'Table 3 Levels 1&amp;2'!AL9</f>
        <v>6182.4313545138375</v>
      </c>
      <c r="E8" s="1011">
        <f t="shared" ref="E8:E71" si="2">C8*D8</f>
        <v>0</v>
      </c>
      <c r="F8" s="1011">
        <f>'Table 4 Level 3'!P7</f>
        <v>842.32</v>
      </c>
      <c r="G8" s="1011">
        <f t="shared" ref="G8:G71" si="3">C8*F8</f>
        <v>0</v>
      </c>
      <c r="H8" s="982">
        <f t="shared" ref="H8:H71" si="4">E8+G8</f>
        <v>0</v>
      </c>
      <c r="I8" s="1021">
        <f t="shared" ref="I8:I71" si="5">-(0.25%*H8)</f>
        <v>0</v>
      </c>
      <c r="J8" s="982">
        <f t="shared" ref="J8:J71" si="6">SUM(H8:I8)</f>
        <v>0</v>
      </c>
      <c r="K8" s="982">
        <v>0</v>
      </c>
      <c r="L8" s="982">
        <f t="shared" ref="L8:L71" si="7">SUM(J8:K8)</f>
        <v>0</v>
      </c>
      <c r="M8" s="982">
        <f t="shared" ref="M8:M71" si="8">L8/12</f>
        <v>0</v>
      </c>
      <c r="N8" s="981">
        <f>'Table 5C1A-Madison Prep'!N8</f>
        <v>2627</v>
      </c>
      <c r="O8" s="983">
        <f t="shared" ref="O8:O71" si="9">C8*N8</f>
        <v>0</v>
      </c>
      <c r="P8" s="1029">
        <f t="shared" ref="P8:P71" si="10">-(0.25%*O8)</f>
        <v>0</v>
      </c>
      <c r="Q8" s="983">
        <f t="shared" ref="Q8:Q71" si="11">SUM(O8:P8)</f>
        <v>0</v>
      </c>
      <c r="R8" s="983">
        <v>0</v>
      </c>
      <c r="S8" s="983">
        <f t="shared" ref="S8:S71" si="12">SUM(Q8:R8)</f>
        <v>0</v>
      </c>
      <c r="T8" s="983">
        <f t="shared" ref="T8:T71" si="13">S8/12</f>
        <v>0</v>
      </c>
      <c r="U8" s="984">
        <f t="shared" ref="U8:V71" si="14">L8+S8</f>
        <v>0</v>
      </c>
      <c r="V8" s="984">
        <f t="shared" si="14"/>
        <v>0</v>
      </c>
    </row>
    <row r="9" spans="1:22">
      <c r="A9" s="960">
        <v>3</v>
      </c>
      <c r="B9" s="961" t="s">
        <v>95</v>
      </c>
      <c r="C9" s="1078">
        <f>'2-1-13 SIS'!G9</f>
        <v>0</v>
      </c>
      <c r="D9" s="962">
        <f>'Table 3 Levels 1&amp;2'!AL10</f>
        <v>4206.710737685361</v>
      </c>
      <c r="E9" s="1011">
        <f t="shared" si="2"/>
        <v>0</v>
      </c>
      <c r="F9" s="1011">
        <f>'Table 4 Level 3'!P8</f>
        <v>596.84</v>
      </c>
      <c r="G9" s="1011">
        <f t="shared" si="3"/>
        <v>0</v>
      </c>
      <c r="H9" s="982">
        <f t="shared" si="4"/>
        <v>0</v>
      </c>
      <c r="I9" s="1021">
        <f t="shared" si="5"/>
        <v>0</v>
      </c>
      <c r="J9" s="982">
        <f t="shared" si="6"/>
        <v>0</v>
      </c>
      <c r="K9" s="982">
        <v>0</v>
      </c>
      <c r="L9" s="982">
        <f t="shared" si="7"/>
        <v>0</v>
      </c>
      <c r="M9" s="982">
        <f t="shared" si="8"/>
        <v>0</v>
      </c>
      <c r="N9" s="981">
        <f>'Table 5C1A-Madison Prep'!N9</f>
        <v>5431</v>
      </c>
      <c r="O9" s="983">
        <f t="shared" si="9"/>
        <v>0</v>
      </c>
      <c r="P9" s="1029">
        <f t="shared" si="10"/>
        <v>0</v>
      </c>
      <c r="Q9" s="983">
        <f t="shared" si="11"/>
        <v>0</v>
      </c>
      <c r="R9" s="983">
        <v>0</v>
      </c>
      <c r="S9" s="983">
        <f t="shared" si="12"/>
        <v>0</v>
      </c>
      <c r="T9" s="983">
        <f t="shared" si="13"/>
        <v>0</v>
      </c>
      <c r="U9" s="984">
        <f t="shared" si="14"/>
        <v>0</v>
      </c>
      <c r="V9" s="984">
        <f t="shared" si="14"/>
        <v>0</v>
      </c>
    </row>
    <row r="10" spans="1:22">
      <c r="A10" s="960">
        <v>4</v>
      </c>
      <c r="B10" s="961" t="s">
        <v>96</v>
      </c>
      <c r="C10" s="1078">
        <f>'2-1-13 SIS'!G10</f>
        <v>0</v>
      </c>
      <c r="D10" s="962">
        <f>'Table 3 Levels 1&amp;2'!AL11</f>
        <v>5987.4993535453223</v>
      </c>
      <c r="E10" s="1011">
        <f t="shared" si="2"/>
        <v>0</v>
      </c>
      <c r="F10" s="1011">
        <f>'Table 4 Level 3'!P9</f>
        <v>585.76</v>
      </c>
      <c r="G10" s="1011">
        <f t="shared" si="3"/>
        <v>0</v>
      </c>
      <c r="H10" s="982">
        <f t="shared" si="4"/>
        <v>0</v>
      </c>
      <c r="I10" s="1021">
        <f t="shared" si="5"/>
        <v>0</v>
      </c>
      <c r="J10" s="982">
        <f t="shared" si="6"/>
        <v>0</v>
      </c>
      <c r="K10" s="982">
        <v>0</v>
      </c>
      <c r="L10" s="982">
        <f t="shared" si="7"/>
        <v>0</v>
      </c>
      <c r="M10" s="982">
        <f t="shared" si="8"/>
        <v>0</v>
      </c>
      <c r="N10" s="981">
        <f>'Table 5C1A-Madison Prep'!N10</f>
        <v>3029</v>
      </c>
      <c r="O10" s="983">
        <f t="shared" si="9"/>
        <v>0</v>
      </c>
      <c r="P10" s="1029">
        <f t="shared" si="10"/>
        <v>0</v>
      </c>
      <c r="Q10" s="983">
        <f t="shared" si="11"/>
        <v>0</v>
      </c>
      <c r="R10" s="983">
        <v>0</v>
      </c>
      <c r="S10" s="983">
        <f t="shared" si="12"/>
        <v>0</v>
      </c>
      <c r="T10" s="983">
        <f t="shared" si="13"/>
        <v>0</v>
      </c>
      <c r="U10" s="984">
        <f t="shared" si="14"/>
        <v>0</v>
      </c>
      <c r="V10" s="984">
        <f t="shared" si="14"/>
        <v>0</v>
      </c>
    </row>
    <row r="11" spans="1:22">
      <c r="A11" s="963">
        <v>5</v>
      </c>
      <c r="B11" s="964" t="s">
        <v>97</v>
      </c>
      <c r="C11" s="1079">
        <f>'2-1-13 SIS'!G11</f>
        <v>0</v>
      </c>
      <c r="D11" s="965">
        <f>'Table 3 Levels 1&amp;2'!AL12</f>
        <v>4986.8166927080074</v>
      </c>
      <c r="E11" s="1012">
        <f t="shared" si="2"/>
        <v>0</v>
      </c>
      <c r="F11" s="1012">
        <f>'Table 4 Level 3'!P10</f>
        <v>555.91</v>
      </c>
      <c r="G11" s="1012">
        <f t="shared" si="3"/>
        <v>0</v>
      </c>
      <c r="H11" s="985">
        <f t="shared" si="4"/>
        <v>0</v>
      </c>
      <c r="I11" s="1022">
        <f t="shared" si="5"/>
        <v>0</v>
      </c>
      <c r="J11" s="985">
        <f t="shared" si="6"/>
        <v>0</v>
      </c>
      <c r="K11" s="985">
        <v>0</v>
      </c>
      <c r="L11" s="985">
        <f t="shared" si="7"/>
        <v>0</v>
      </c>
      <c r="M11" s="985">
        <f t="shared" si="8"/>
        <v>0</v>
      </c>
      <c r="N11" s="986">
        <f>'Table 5C1A-Madison Prep'!N11</f>
        <v>1751</v>
      </c>
      <c r="O11" s="987">
        <f t="shared" si="9"/>
        <v>0</v>
      </c>
      <c r="P11" s="1030">
        <f t="shared" si="10"/>
        <v>0</v>
      </c>
      <c r="Q11" s="987">
        <f t="shared" si="11"/>
        <v>0</v>
      </c>
      <c r="R11" s="987">
        <v>0</v>
      </c>
      <c r="S11" s="987">
        <f t="shared" si="12"/>
        <v>0</v>
      </c>
      <c r="T11" s="987">
        <f t="shared" si="13"/>
        <v>0</v>
      </c>
      <c r="U11" s="988">
        <f t="shared" si="14"/>
        <v>0</v>
      </c>
      <c r="V11" s="988">
        <f t="shared" si="14"/>
        <v>0</v>
      </c>
    </row>
    <row r="12" spans="1:22">
      <c r="A12" s="953">
        <v>6</v>
      </c>
      <c r="B12" s="954" t="s">
        <v>98</v>
      </c>
      <c r="C12" s="1080">
        <f>'2-1-13 SIS'!G12</f>
        <v>0</v>
      </c>
      <c r="D12" s="956">
        <f>'Table 3 Levels 1&amp;2'!AL13</f>
        <v>5412.7883404260592</v>
      </c>
      <c r="E12" s="1010">
        <f t="shared" si="2"/>
        <v>0</v>
      </c>
      <c r="F12" s="1010">
        <f>'Table 4 Level 3'!P11</f>
        <v>545.4799999999999</v>
      </c>
      <c r="G12" s="1010">
        <f t="shared" si="3"/>
        <v>0</v>
      </c>
      <c r="H12" s="957">
        <f t="shared" si="4"/>
        <v>0</v>
      </c>
      <c r="I12" s="1020">
        <f t="shared" si="5"/>
        <v>0</v>
      </c>
      <c r="J12" s="957">
        <f t="shared" si="6"/>
        <v>0</v>
      </c>
      <c r="K12" s="957">
        <v>0</v>
      </c>
      <c r="L12" s="957">
        <f t="shared" si="7"/>
        <v>0</v>
      </c>
      <c r="M12" s="957">
        <f t="shared" si="8"/>
        <v>0</v>
      </c>
      <c r="N12" s="981">
        <f>'Table 5C1A-Madison Prep'!N12</f>
        <v>3735</v>
      </c>
      <c r="O12" s="958">
        <f t="shared" si="9"/>
        <v>0</v>
      </c>
      <c r="P12" s="1028">
        <f t="shared" si="10"/>
        <v>0</v>
      </c>
      <c r="Q12" s="958">
        <f t="shared" si="11"/>
        <v>0</v>
      </c>
      <c r="R12" s="958">
        <v>0</v>
      </c>
      <c r="S12" s="958">
        <f t="shared" si="12"/>
        <v>0</v>
      </c>
      <c r="T12" s="958">
        <f t="shared" si="13"/>
        <v>0</v>
      </c>
      <c r="U12" s="959">
        <f t="shared" si="14"/>
        <v>0</v>
      </c>
      <c r="V12" s="959">
        <f t="shared" si="14"/>
        <v>0</v>
      </c>
    </row>
    <row r="13" spans="1:22">
      <c r="A13" s="960">
        <v>7</v>
      </c>
      <c r="B13" s="961" t="s">
        <v>99</v>
      </c>
      <c r="C13" s="1078">
        <f>'2-1-13 SIS'!G13</f>
        <v>0</v>
      </c>
      <c r="D13" s="962">
        <f>'Table 3 Levels 1&amp;2'!AL14</f>
        <v>1766.1023604176123</v>
      </c>
      <c r="E13" s="1011">
        <f t="shared" si="2"/>
        <v>0</v>
      </c>
      <c r="F13" s="1011">
        <f>'Table 4 Level 3'!P12</f>
        <v>756.91999999999985</v>
      </c>
      <c r="G13" s="1011">
        <f t="shared" si="3"/>
        <v>0</v>
      </c>
      <c r="H13" s="982">
        <f t="shared" si="4"/>
        <v>0</v>
      </c>
      <c r="I13" s="1021">
        <f t="shared" si="5"/>
        <v>0</v>
      </c>
      <c r="J13" s="982">
        <f t="shared" si="6"/>
        <v>0</v>
      </c>
      <c r="K13" s="982">
        <v>0</v>
      </c>
      <c r="L13" s="982">
        <f t="shared" si="7"/>
        <v>0</v>
      </c>
      <c r="M13" s="982">
        <f t="shared" si="8"/>
        <v>0</v>
      </c>
      <c r="N13" s="981">
        <f>'Table 5C1A-Madison Prep'!N13</f>
        <v>11329</v>
      </c>
      <c r="O13" s="983">
        <f t="shared" si="9"/>
        <v>0</v>
      </c>
      <c r="P13" s="1029">
        <f t="shared" si="10"/>
        <v>0</v>
      </c>
      <c r="Q13" s="983">
        <f t="shared" si="11"/>
        <v>0</v>
      </c>
      <c r="R13" s="983">
        <v>0</v>
      </c>
      <c r="S13" s="983">
        <f t="shared" si="12"/>
        <v>0</v>
      </c>
      <c r="T13" s="983">
        <f t="shared" si="13"/>
        <v>0</v>
      </c>
      <c r="U13" s="984">
        <f t="shared" si="14"/>
        <v>0</v>
      </c>
      <c r="V13" s="984">
        <f t="shared" si="14"/>
        <v>0</v>
      </c>
    </row>
    <row r="14" spans="1:22">
      <c r="A14" s="960">
        <v>8</v>
      </c>
      <c r="B14" s="961" t="s">
        <v>100</v>
      </c>
      <c r="C14" s="1078">
        <f>'2-1-13 SIS'!G14</f>
        <v>0</v>
      </c>
      <c r="D14" s="962">
        <f>'Table 3 Levels 1&amp;2'!AL15</f>
        <v>4289.5073606712331</v>
      </c>
      <c r="E14" s="1011">
        <f t="shared" si="2"/>
        <v>0</v>
      </c>
      <c r="F14" s="1011">
        <f>'Table 4 Level 3'!P13</f>
        <v>725.76</v>
      </c>
      <c r="G14" s="1011">
        <f t="shared" si="3"/>
        <v>0</v>
      </c>
      <c r="H14" s="982">
        <f t="shared" si="4"/>
        <v>0</v>
      </c>
      <c r="I14" s="1021">
        <f t="shared" si="5"/>
        <v>0</v>
      </c>
      <c r="J14" s="982">
        <f t="shared" si="6"/>
        <v>0</v>
      </c>
      <c r="K14" s="982">
        <v>0</v>
      </c>
      <c r="L14" s="982">
        <f t="shared" si="7"/>
        <v>0</v>
      </c>
      <c r="M14" s="982">
        <f t="shared" si="8"/>
        <v>0</v>
      </c>
      <c r="N14" s="981">
        <f>'Table 5C1A-Madison Prep'!N14</f>
        <v>3915</v>
      </c>
      <c r="O14" s="983">
        <f t="shared" si="9"/>
        <v>0</v>
      </c>
      <c r="P14" s="1029">
        <f t="shared" si="10"/>
        <v>0</v>
      </c>
      <c r="Q14" s="983">
        <f t="shared" si="11"/>
        <v>0</v>
      </c>
      <c r="R14" s="983">
        <v>0</v>
      </c>
      <c r="S14" s="983">
        <f t="shared" si="12"/>
        <v>0</v>
      </c>
      <c r="T14" s="983">
        <f t="shared" si="13"/>
        <v>0</v>
      </c>
      <c r="U14" s="984">
        <f t="shared" si="14"/>
        <v>0</v>
      </c>
      <c r="V14" s="984">
        <f t="shared" si="14"/>
        <v>0</v>
      </c>
    </row>
    <row r="15" spans="1:22">
      <c r="A15" s="960">
        <v>9</v>
      </c>
      <c r="B15" s="961" t="s">
        <v>101</v>
      </c>
      <c r="C15" s="1078">
        <f>'2-1-13 SIS'!G15</f>
        <v>0</v>
      </c>
      <c r="D15" s="962">
        <f>'Table 3 Levels 1&amp;2'!AL16</f>
        <v>4395.6154516889328</v>
      </c>
      <c r="E15" s="1011">
        <f t="shared" si="2"/>
        <v>0</v>
      </c>
      <c r="F15" s="1011">
        <f>'Table 4 Level 3'!P14</f>
        <v>744.76</v>
      </c>
      <c r="G15" s="1011">
        <f t="shared" si="3"/>
        <v>0</v>
      </c>
      <c r="H15" s="982">
        <f t="shared" si="4"/>
        <v>0</v>
      </c>
      <c r="I15" s="1021">
        <f t="shared" si="5"/>
        <v>0</v>
      </c>
      <c r="J15" s="982">
        <f t="shared" si="6"/>
        <v>0</v>
      </c>
      <c r="K15" s="982">
        <v>0</v>
      </c>
      <c r="L15" s="982">
        <f t="shared" si="7"/>
        <v>0</v>
      </c>
      <c r="M15" s="982">
        <f t="shared" si="8"/>
        <v>0</v>
      </c>
      <c r="N15" s="981">
        <f>'Table 5C1A-Madison Prep'!N15</f>
        <v>4627</v>
      </c>
      <c r="O15" s="983">
        <f t="shared" si="9"/>
        <v>0</v>
      </c>
      <c r="P15" s="1029">
        <f t="shared" si="10"/>
        <v>0</v>
      </c>
      <c r="Q15" s="983">
        <f t="shared" si="11"/>
        <v>0</v>
      </c>
      <c r="R15" s="983">
        <v>0</v>
      </c>
      <c r="S15" s="983">
        <f t="shared" si="12"/>
        <v>0</v>
      </c>
      <c r="T15" s="983">
        <f t="shared" si="13"/>
        <v>0</v>
      </c>
      <c r="U15" s="984">
        <f t="shared" si="14"/>
        <v>0</v>
      </c>
      <c r="V15" s="984">
        <f t="shared" si="14"/>
        <v>0</v>
      </c>
    </row>
    <row r="16" spans="1:22">
      <c r="A16" s="963">
        <v>10</v>
      </c>
      <c r="B16" s="964" t="s">
        <v>102</v>
      </c>
      <c r="C16" s="1079">
        <f>'2-1-13 SIS'!G16</f>
        <v>523</v>
      </c>
      <c r="D16" s="965">
        <f>'Table 3 Levels 1&amp;2'!AL17</f>
        <v>4253.5980618992444</v>
      </c>
      <c r="E16" s="1012">
        <f t="shared" si="2"/>
        <v>2224631.7863733047</v>
      </c>
      <c r="F16" s="1012">
        <f>'Table 4 Level 3'!P15</f>
        <v>608.04000000000008</v>
      </c>
      <c r="G16" s="1012">
        <f t="shared" si="3"/>
        <v>318004.92000000004</v>
      </c>
      <c r="H16" s="985">
        <f t="shared" si="4"/>
        <v>2542636.7063733046</v>
      </c>
      <c r="I16" s="1022">
        <f t="shared" si="5"/>
        <v>-6356.5917659332617</v>
      </c>
      <c r="J16" s="985">
        <f t="shared" si="6"/>
        <v>2536280.1146073714</v>
      </c>
      <c r="K16" s="985">
        <v>0</v>
      </c>
      <c r="L16" s="985">
        <f t="shared" si="7"/>
        <v>2536280.1146073714</v>
      </c>
      <c r="M16" s="985">
        <f t="shared" si="8"/>
        <v>211356.67621728094</v>
      </c>
      <c r="N16" s="986">
        <f>'Table 5C1A-Madison Prep'!N16</f>
        <v>4489</v>
      </c>
      <c r="O16" s="987">
        <f t="shared" si="9"/>
        <v>2347747</v>
      </c>
      <c r="P16" s="1030">
        <f t="shared" si="10"/>
        <v>-5869.3675000000003</v>
      </c>
      <c r="Q16" s="987">
        <f t="shared" si="11"/>
        <v>2341877.6324999998</v>
      </c>
      <c r="R16" s="987">
        <v>0</v>
      </c>
      <c r="S16" s="987">
        <f t="shared" si="12"/>
        <v>2341877.6324999998</v>
      </c>
      <c r="T16" s="987">
        <f t="shared" si="13"/>
        <v>195156.46937499999</v>
      </c>
      <c r="U16" s="988">
        <f t="shared" si="14"/>
        <v>4878157.7471073717</v>
      </c>
      <c r="V16" s="988">
        <f t="shared" si="14"/>
        <v>406513.1455922809</v>
      </c>
    </row>
    <row r="17" spans="1:22">
      <c r="A17" s="953">
        <v>11</v>
      </c>
      <c r="B17" s="954" t="s">
        <v>103</v>
      </c>
      <c r="C17" s="1080">
        <f>'2-1-13 SIS'!G17</f>
        <v>0</v>
      </c>
      <c r="D17" s="956">
        <f>'Table 3 Levels 1&amp;2'!AL18</f>
        <v>6852.9138435383502</v>
      </c>
      <c r="E17" s="1010">
        <f t="shared" si="2"/>
        <v>0</v>
      </c>
      <c r="F17" s="1010">
        <f>'Table 4 Level 3'!P16</f>
        <v>706.55</v>
      </c>
      <c r="G17" s="1010">
        <f t="shared" si="3"/>
        <v>0</v>
      </c>
      <c r="H17" s="957">
        <f t="shared" si="4"/>
        <v>0</v>
      </c>
      <c r="I17" s="1020">
        <f t="shared" si="5"/>
        <v>0</v>
      </c>
      <c r="J17" s="957">
        <f t="shared" si="6"/>
        <v>0</v>
      </c>
      <c r="K17" s="957">
        <v>0</v>
      </c>
      <c r="L17" s="957">
        <f t="shared" si="7"/>
        <v>0</v>
      </c>
      <c r="M17" s="957">
        <f t="shared" si="8"/>
        <v>0</v>
      </c>
      <c r="N17" s="981">
        <f>'Table 5C1A-Madison Prep'!N17</f>
        <v>3654</v>
      </c>
      <c r="O17" s="958">
        <f t="shared" si="9"/>
        <v>0</v>
      </c>
      <c r="P17" s="1028">
        <f t="shared" si="10"/>
        <v>0</v>
      </c>
      <c r="Q17" s="958">
        <f t="shared" si="11"/>
        <v>0</v>
      </c>
      <c r="R17" s="958">
        <v>0</v>
      </c>
      <c r="S17" s="958">
        <f t="shared" si="12"/>
        <v>0</v>
      </c>
      <c r="T17" s="958">
        <f t="shared" si="13"/>
        <v>0</v>
      </c>
      <c r="U17" s="959">
        <f t="shared" si="14"/>
        <v>0</v>
      </c>
      <c r="V17" s="959">
        <f t="shared" si="14"/>
        <v>0</v>
      </c>
    </row>
    <row r="18" spans="1:22">
      <c r="A18" s="960">
        <v>12</v>
      </c>
      <c r="B18" s="961" t="s">
        <v>104</v>
      </c>
      <c r="C18" s="1078">
        <f>'2-1-13 SIS'!G18</f>
        <v>0</v>
      </c>
      <c r="D18" s="962">
        <f>'Table 3 Levels 1&amp;2'!AL19</f>
        <v>1733.9056059356967</v>
      </c>
      <c r="E18" s="1011">
        <f t="shared" si="2"/>
        <v>0</v>
      </c>
      <c r="F18" s="1011">
        <f>'Table 4 Level 3'!P17</f>
        <v>1063.31</v>
      </c>
      <c r="G18" s="1011">
        <f t="shared" si="3"/>
        <v>0</v>
      </c>
      <c r="H18" s="982">
        <f t="shared" si="4"/>
        <v>0</v>
      </c>
      <c r="I18" s="1021">
        <f t="shared" si="5"/>
        <v>0</v>
      </c>
      <c r="J18" s="982">
        <f t="shared" si="6"/>
        <v>0</v>
      </c>
      <c r="K18" s="982">
        <v>0</v>
      </c>
      <c r="L18" s="982">
        <f t="shared" si="7"/>
        <v>0</v>
      </c>
      <c r="M18" s="982">
        <f t="shared" si="8"/>
        <v>0</v>
      </c>
      <c r="N18" s="981">
        <f>'Table 5C1A-Madison Prep'!N18</f>
        <v>13767</v>
      </c>
      <c r="O18" s="983">
        <f t="shared" si="9"/>
        <v>0</v>
      </c>
      <c r="P18" s="1029">
        <f t="shared" si="10"/>
        <v>0</v>
      </c>
      <c r="Q18" s="983">
        <f t="shared" si="11"/>
        <v>0</v>
      </c>
      <c r="R18" s="983">
        <v>0</v>
      </c>
      <c r="S18" s="983">
        <f t="shared" si="12"/>
        <v>0</v>
      </c>
      <c r="T18" s="983">
        <f t="shared" si="13"/>
        <v>0</v>
      </c>
      <c r="U18" s="984">
        <f t="shared" si="14"/>
        <v>0</v>
      </c>
      <c r="V18" s="984">
        <f t="shared" si="14"/>
        <v>0</v>
      </c>
    </row>
    <row r="19" spans="1:22">
      <c r="A19" s="960">
        <v>13</v>
      </c>
      <c r="B19" s="961" t="s">
        <v>105</v>
      </c>
      <c r="C19" s="1078">
        <f>'2-1-13 SIS'!G19</f>
        <v>0</v>
      </c>
      <c r="D19" s="962">
        <f>'Table 3 Levels 1&amp;2'!AL20</f>
        <v>6254.1238637730876</v>
      </c>
      <c r="E19" s="1011">
        <f t="shared" si="2"/>
        <v>0</v>
      </c>
      <c r="F19" s="1011">
        <f>'Table 4 Level 3'!P18</f>
        <v>749.43000000000006</v>
      </c>
      <c r="G19" s="1011">
        <f t="shared" si="3"/>
        <v>0</v>
      </c>
      <c r="H19" s="982">
        <f t="shared" si="4"/>
        <v>0</v>
      </c>
      <c r="I19" s="1021">
        <f t="shared" si="5"/>
        <v>0</v>
      </c>
      <c r="J19" s="982">
        <f t="shared" si="6"/>
        <v>0</v>
      </c>
      <c r="K19" s="982">
        <v>0</v>
      </c>
      <c r="L19" s="982">
        <f t="shared" si="7"/>
        <v>0</v>
      </c>
      <c r="M19" s="982">
        <f t="shared" si="8"/>
        <v>0</v>
      </c>
      <c r="N19" s="981">
        <f>'Table 5C1A-Madison Prep'!N19</f>
        <v>2525</v>
      </c>
      <c r="O19" s="983">
        <f t="shared" si="9"/>
        <v>0</v>
      </c>
      <c r="P19" s="1029">
        <f t="shared" si="10"/>
        <v>0</v>
      </c>
      <c r="Q19" s="983">
        <f t="shared" si="11"/>
        <v>0</v>
      </c>
      <c r="R19" s="983">
        <v>0</v>
      </c>
      <c r="S19" s="983">
        <f t="shared" si="12"/>
        <v>0</v>
      </c>
      <c r="T19" s="983">
        <f t="shared" si="13"/>
        <v>0</v>
      </c>
      <c r="U19" s="984">
        <f t="shared" si="14"/>
        <v>0</v>
      </c>
      <c r="V19" s="984">
        <f t="shared" si="14"/>
        <v>0</v>
      </c>
    </row>
    <row r="20" spans="1:22">
      <c r="A20" s="960">
        <v>14</v>
      </c>
      <c r="B20" s="961" t="s">
        <v>106</v>
      </c>
      <c r="C20" s="1078">
        <f>'2-1-13 SIS'!G20</f>
        <v>0</v>
      </c>
      <c r="D20" s="962">
        <f>'Table 3 Levels 1&amp;2'!AL21</f>
        <v>5377.9187438545459</v>
      </c>
      <c r="E20" s="1011">
        <f t="shared" si="2"/>
        <v>0</v>
      </c>
      <c r="F20" s="1011">
        <f>'Table 4 Level 3'!P19</f>
        <v>809.9799999999999</v>
      </c>
      <c r="G20" s="1011">
        <f t="shared" si="3"/>
        <v>0</v>
      </c>
      <c r="H20" s="982">
        <f t="shared" si="4"/>
        <v>0</v>
      </c>
      <c r="I20" s="1021">
        <f t="shared" si="5"/>
        <v>0</v>
      </c>
      <c r="J20" s="982">
        <f t="shared" si="6"/>
        <v>0</v>
      </c>
      <c r="K20" s="982">
        <v>0</v>
      </c>
      <c r="L20" s="982">
        <f t="shared" si="7"/>
        <v>0</v>
      </c>
      <c r="M20" s="982">
        <f t="shared" si="8"/>
        <v>0</v>
      </c>
      <c r="N20" s="981">
        <f>'Table 5C1A-Madison Prep'!N20</f>
        <v>3988</v>
      </c>
      <c r="O20" s="983">
        <f t="shared" si="9"/>
        <v>0</v>
      </c>
      <c r="P20" s="1029">
        <f t="shared" si="10"/>
        <v>0</v>
      </c>
      <c r="Q20" s="983">
        <f t="shared" si="11"/>
        <v>0</v>
      </c>
      <c r="R20" s="983">
        <v>0</v>
      </c>
      <c r="S20" s="983">
        <f t="shared" si="12"/>
        <v>0</v>
      </c>
      <c r="T20" s="983">
        <f t="shared" si="13"/>
        <v>0</v>
      </c>
      <c r="U20" s="984">
        <f t="shared" si="14"/>
        <v>0</v>
      </c>
      <c r="V20" s="984">
        <f t="shared" si="14"/>
        <v>0</v>
      </c>
    </row>
    <row r="21" spans="1:22">
      <c r="A21" s="963">
        <v>15</v>
      </c>
      <c r="B21" s="964" t="s">
        <v>107</v>
      </c>
      <c r="C21" s="1079">
        <f>'2-1-13 SIS'!G21</f>
        <v>0</v>
      </c>
      <c r="D21" s="965">
        <f>'Table 3 Levels 1&amp;2'!AL22</f>
        <v>5527.7651197617861</v>
      </c>
      <c r="E21" s="1012">
        <f t="shared" si="2"/>
        <v>0</v>
      </c>
      <c r="F21" s="1012">
        <f>'Table 4 Level 3'!P20</f>
        <v>553.79999999999995</v>
      </c>
      <c r="G21" s="1012">
        <f t="shared" si="3"/>
        <v>0</v>
      </c>
      <c r="H21" s="985">
        <f t="shared" si="4"/>
        <v>0</v>
      </c>
      <c r="I21" s="1022">
        <f t="shared" si="5"/>
        <v>0</v>
      </c>
      <c r="J21" s="985">
        <f t="shared" si="6"/>
        <v>0</v>
      </c>
      <c r="K21" s="985">
        <v>0</v>
      </c>
      <c r="L21" s="985">
        <f t="shared" si="7"/>
        <v>0</v>
      </c>
      <c r="M21" s="985">
        <f t="shared" si="8"/>
        <v>0</v>
      </c>
      <c r="N21" s="986">
        <f>'Table 5C1A-Madison Prep'!N21</f>
        <v>2544</v>
      </c>
      <c r="O21" s="987">
        <f t="shared" si="9"/>
        <v>0</v>
      </c>
      <c r="P21" s="1030">
        <f t="shared" si="10"/>
        <v>0</v>
      </c>
      <c r="Q21" s="987">
        <f t="shared" si="11"/>
        <v>0</v>
      </c>
      <c r="R21" s="987">
        <v>0</v>
      </c>
      <c r="S21" s="987">
        <f t="shared" si="12"/>
        <v>0</v>
      </c>
      <c r="T21" s="987">
        <f t="shared" si="13"/>
        <v>0</v>
      </c>
      <c r="U21" s="988">
        <f t="shared" si="14"/>
        <v>0</v>
      </c>
      <c r="V21" s="988">
        <f t="shared" si="14"/>
        <v>0</v>
      </c>
    </row>
    <row r="22" spans="1:22">
      <c r="A22" s="953">
        <v>16</v>
      </c>
      <c r="B22" s="954" t="s">
        <v>108</v>
      </c>
      <c r="C22" s="1080">
        <f>'2-1-13 SIS'!G22</f>
        <v>0</v>
      </c>
      <c r="D22" s="956">
        <f>'Table 3 Levels 1&amp;2'!AL23</f>
        <v>1530.3678845377474</v>
      </c>
      <c r="E22" s="1010">
        <f t="shared" si="2"/>
        <v>0</v>
      </c>
      <c r="F22" s="1010">
        <f>'Table 4 Level 3'!P21</f>
        <v>686.73</v>
      </c>
      <c r="G22" s="1010">
        <f t="shared" si="3"/>
        <v>0</v>
      </c>
      <c r="H22" s="957">
        <f t="shared" si="4"/>
        <v>0</v>
      </c>
      <c r="I22" s="1020">
        <f t="shared" si="5"/>
        <v>0</v>
      </c>
      <c r="J22" s="957">
        <f t="shared" si="6"/>
        <v>0</v>
      </c>
      <c r="K22" s="957">
        <v>0</v>
      </c>
      <c r="L22" s="957">
        <f t="shared" si="7"/>
        <v>0</v>
      </c>
      <c r="M22" s="957">
        <f t="shared" si="8"/>
        <v>0</v>
      </c>
      <c r="N22" s="981">
        <f>'Table 5C1A-Madison Prep'!N22</f>
        <v>12132</v>
      </c>
      <c r="O22" s="958">
        <f t="shared" si="9"/>
        <v>0</v>
      </c>
      <c r="P22" s="1028">
        <f t="shared" si="10"/>
        <v>0</v>
      </c>
      <c r="Q22" s="958">
        <f t="shared" si="11"/>
        <v>0</v>
      </c>
      <c r="R22" s="958">
        <v>0</v>
      </c>
      <c r="S22" s="958">
        <f t="shared" si="12"/>
        <v>0</v>
      </c>
      <c r="T22" s="958">
        <f t="shared" si="13"/>
        <v>0</v>
      </c>
      <c r="U22" s="959">
        <f t="shared" si="14"/>
        <v>0</v>
      </c>
      <c r="V22" s="959">
        <f t="shared" si="14"/>
        <v>0</v>
      </c>
    </row>
    <row r="23" spans="1:22">
      <c r="A23" s="960">
        <v>17</v>
      </c>
      <c r="B23" s="961" t="s">
        <v>109</v>
      </c>
      <c r="C23" s="1078">
        <f>'2-1-13 SIS'!G23</f>
        <v>0</v>
      </c>
      <c r="D23" s="962">
        <f>'Table 3 Levels 1&amp;2'!AL24</f>
        <v>3313.0666313017805</v>
      </c>
      <c r="E23" s="1011">
        <f t="shared" si="2"/>
        <v>0</v>
      </c>
      <c r="F23" s="1011">
        <f>'Table 5B2_RSD_LA'!F7</f>
        <v>801.47762416806802</v>
      </c>
      <c r="G23" s="1011">
        <f t="shared" si="3"/>
        <v>0</v>
      </c>
      <c r="H23" s="982">
        <f t="shared" si="4"/>
        <v>0</v>
      </c>
      <c r="I23" s="1021">
        <f t="shared" si="5"/>
        <v>0</v>
      </c>
      <c r="J23" s="982">
        <f t="shared" si="6"/>
        <v>0</v>
      </c>
      <c r="K23" s="982">
        <v>0</v>
      </c>
      <c r="L23" s="982">
        <f t="shared" si="7"/>
        <v>0</v>
      </c>
      <c r="M23" s="982">
        <f t="shared" si="8"/>
        <v>0</v>
      </c>
      <c r="N23" s="981">
        <f>'Table 5C1A-Madison Prep'!N23</f>
        <v>6764</v>
      </c>
      <c r="O23" s="983">
        <f t="shared" si="9"/>
        <v>0</v>
      </c>
      <c r="P23" s="1029">
        <f t="shared" si="10"/>
        <v>0</v>
      </c>
      <c r="Q23" s="983">
        <f t="shared" si="11"/>
        <v>0</v>
      </c>
      <c r="R23" s="983">
        <v>0</v>
      </c>
      <c r="S23" s="983">
        <f t="shared" si="12"/>
        <v>0</v>
      </c>
      <c r="T23" s="983">
        <f t="shared" si="13"/>
        <v>0</v>
      </c>
      <c r="U23" s="984">
        <f t="shared" si="14"/>
        <v>0</v>
      </c>
      <c r="V23" s="984">
        <f t="shared" si="14"/>
        <v>0</v>
      </c>
    </row>
    <row r="24" spans="1:22">
      <c r="A24" s="960">
        <v>18</v>
      </c>
      <c r="B24" s="961" t="s">
        <v>110</v>
      </c>
      <c r="C24" s="1078">
        <f>'2-1-13 SIS'!G24</f>
        <v>0</v>
      </c>
      <c r="D24" s="962">
        <f>'Table 3 Levels 1&amp;2'!AL25</f>
        <v>5989.1351892854573</v>
      </c>
      <c r="E24" s="1011">
        <f t="shared" si="2"/>
        <v>0</v>
      </c>
      <c r="F24" s="1011">
        <f>'Table 4 Level 3'!P23</f>
        <v>845.94999999999993</v>
      </c>
      <c r="G24" s="1011">
        <f t="shared" si="3"/>
        <v>0</v>
      </c>
      <c r="H24" s="982">
        <f t="shared" si="4"/>
        <v>0</v>
      </c>
      <c r="I24" s="1021">
        <f t="shared" si="5"/>
        <v>0</v>
      </c>
      <c r="J24" s="982">
        <f t="shared" si="6"/>
        <v>0</v>
      </c>
      <c r="K24" s="982">
        <v>0</v>
      </c>
      <c r="L24" s="982">
        <f t="shared" si="7"/>
        <v>0</v>
      </c>
      <c r="M24" s="982">
        <f t="shared" si="8"/>
        <v>0</v>
      </c>
      <c r="N24" s="981">
        <f>'Table 5C1A-Madison Prep'!N24</f>
        <v>2925</v>
      </c>
      <c r="O24" s="983">
        <f t="shared" si="9"/>
        <v>0</v>
      </c>
      <c r="P24" s="1029">
        <f t="shared" si="10"/>
        <v>0</v>
      </c>
      <c r="Q24" s="983">
        <f t="shared" si="11"/>
        <v>0</v>
      </c>
      <c r="R24" s="983">
        <v>0</v>
      </c>
      <c r="S24" s="983">
        <f t="shared" si="12"/>
        <v>0</v>
      </c>
      <c r="T24" s="983">
        <f t="shared" si="13"/>
        <v>0</v>
      </c>
      <c r="U24" s="984">
        <f t="shared" si="14"/>
        <v>0</v>
      </c>
      <c r="V24" s="984">
        <f t="shared" si="14"/>
        <v>0</v>
      </c>
    </row>
    <row r="25" spans="1:22">
      <c r="A25" s="960">
        <v>19</v>
      </c>
      <c r="B25" s="961" t="s">
        <v>111</v>
      </c>
      <c r="C25" s="1078">
        <f>'2-1-13 SIS'!G25</f>
        <v>0</v>
      </c>
      <c r="D25" s="962">
        <f>'Table 3 Levels 1&amp;2'!AL26</f>
        <v>5315.8913399708035</v>
      </c>
      <c r="E25" s="1011">
        <f t="shared" si="2"/>
        <v>0</v>
      </c>
      <c r="F25" s="1011">
        <f>'Table 4 Level 3'!P24</f>
        <v>905.43</v>
      </c>
      <c r="G25" s="1011">
        <f t="shared" si="3"/>
        <v>0</v>
      </c>
      <c r="H25" s="982">
        <f t="shared" si="4"/>
        <v>0</v>
      </c>
      <c r="I25" s="1021">
        <f t="shared" si="5"/>
        <v>0</v>
      </c>
      <c r="J25" s="982">
        <f t="shared" si="6"/>
        <v>0</v>
      </c>
      <c r="K25" s="982">
        <v>0</v>
      </c>
      <c r="L25" s="982">
        <f t="shared" si="7"/>
        <v>0</v>
      </c>
      <c r="M25" s="982">
        <f t="shared" si="8"/>
        <v>0</v>
      </c>
      <c r="N25" s="981">
        <f>'Table 5C1A-Madison Prep'!N25</f>
        <v>2570</v>
      </c>
      <c r="O25" s="983">
        <f t="shared" si="9"/>
        <v>0</v>
      </c>
      <c r="P25" s="1029">
        <f t="shared" si="10"/>
        <v>0</v>
      </c>
      <c r="Q25" s="983">
        <f t="shared" si="11"/>
        <v>0</v>
      </c>
      <c r="R25" s="983">
        <v>0</v>
      </c>
      <c r="S25" s="983">
        <f t="shared" si="12"/>
        <v>0</v>
      </c>
      <c r="T25" s="983">
        <f t="shared" si="13"/>
        <v>0</v>
      </c>
      <c r="U25" s="984">
        <f t="shared" si="14"/>
        <v>0</v>
      </c>
      <c r="V25" s="984">
        <f t="shared" si="14"/>
        <v>0</v>
      </c>
    </row>
    <row r="26" spans="1:22">
      <c r="A26" s="963">
        <v>20</v>
      </c>
      <c r="B26" s="964" t="s">
        <v>112</v>
      </c>
      <c r="C26" s="1079">
        <f>'2-1-13 SIS'!G26</f>
        <v>0</v>
      </c>
      <c r="D26" s="965">
        <f>'Table 3 Levels 1&amp;2'!AL27</f>
        <v>5420.2042919205833</v>
      </c>
      <c r="E26" s="1012">
        <f t="shared" si="2"/>
        <v>0</v>
      </c>
      <c r="F26" s="1012">
        <f>'Table 4 Level 3'!P25</f>
        <v>586.16999999999996</v>
      </c>
      <c r="G26" s="1012">
        <f t="shared" si="3"/>
        <v>0</v>
      </c>
      <c r="H26" s="985">
        <f t="shared" si="4"/>
        <v>0</v>
      </c>
      <c r="I26" s="1022">
        <f t="shared" si="5"/>
        <v>0</v>
      </c>
      <c r="J26" s="985">
        <f t="shared" si="6"/>
        <v>0</v>
      </c>
      <c r="K26" s="985">
        <v>0</v>
      </c>
      <c r="L26" s="985">
        <f t="shared" si="7"/>
        <v>0</v>
      </c>
      <c r="M26" s="985">
        <f t="shared" si="8"/>
        <v>0</v>
      </c>
      <c r="N26" s="986">
        <f>'Table 5C1A-Madison Prep'!N26</f>
        <v>2420</v>
      </c>
      <c r="O26" s="987">
        <f t="shared" si="9"/>
        <v>0</v>
      </c>
      <c r="P26" s="1030">
        <f t="shared" si="10"/>
        <v>0</v>
      </c>
      <c r="Q26" s="987">
        <f t="shared" si="11"/>
        <v>0</v>
      </c>
      <c r="R26" s="987">
        <v>0</v>
      </c>
      <c r="S26" s="987">
        <f t="shared" si="12"/>
        <v>0</v>
      </c>
      <c r="T26" s="987">
        <f t="shared" si="13"/>
        <v>0</v>
      </c>
      <c r="U26" s="988">
        <f t="shared" si="14"/>
        <v>0</v>
      </c>
      <c r="V26" s="988">
        <f t="shared" si="14"/>
        <v>0</v>
      </c>
    </row>
    <row r="27" spans="1:22">
      <c r="A27" s="953">
        <v>21</v>
      </c>
      <c r="B27" s="954" t="s">
        <v>113</v>
      </c>
      <c r="C27" s="1080">
        <f>'2-1-13 SIS'!G27</f>
        <v>0</v>
      </c>
      <c r="D27" s="956">
        <f>'Table 3 Levels 1&amp;2'!AL28</f>
        <v>5724.5404916279067</v>
      </c>
      <c r="E27" s="1010">
        <f t="shared" si="2"/>
        <v>0</v>
      </c>
      <c r="F27" s="1010">
        <f>'Table 4 Level 3'!P26</f>
        <v>610.35</v>
      </c>
      <c r="G27" s="1010">
        <f t="shared" si="3"/>
        <v>0</v>
      </c>
      <c r="H27" s="957">
        <f t="shared" si="4"/>
        <v>0</v>
      </c>
      <c r="I27" s="1020">
        <f t="shared" si="5"/>
        <v>0</v>
      </c>
      <c r="J27" s="957">
        <f t="shared" si="6"/>
        <v>0</v>
      </c>
      <c r="K27" s="957">
        <v>0</v>
      </c>
      <c r="L27" s="957">
        <f t="shared" si="7"/>
        <v>0</v>
      </c>
      <c r="M27" s="957">
        <f t="shared" si="8"/>
        <v>0</v>
      </c>
      <c r="N27" s="981">
        <f>'Table 5C1A-Madison Prep'!N27</f>
        <v>2265</v>
      </c>
      <c r="O27" s="958">
        <f t="shared" si="9"/>
        <v>0</v>
      </c>
      <c r="P27" s="1028">
        <f t="shared" si="10"/>
        <v>0</v>
      </c>
      <c r="Q27" s="958">
        <f t="shared" si="11"/>
        <v>0</v>
      </c>
      <c r="R27" s="958">
        <v>0</v>
      </c>
      <c r="S27" s="958">
        <f t="shared" si="12"/>
        <v>0</v>
      </c>
      <c r="T27" s="958">
        <f t="shared" si="13"/>
        <v>0</v>
      </c>
      <c r="U27" s="959">
        <f t="shared" si="14"/>
        <v>0</v>
      </c>
      <c r="V27" s="959">
        <f t="shared" si="14"/>
        <v>0</v>
      </c>
    </row>
    <row r="28" spans="1:22">
      <c r="A28" s="960">
        <v>22</v>
      </c>
      <c r="B28" s="961" t="s">
        <v>114</v>
      </c>
      <c r="C28" s="1078">
        <f>'2-1-13 SIS'!G28</f>
        <v>0</v>
      </c>
      <c r="D28" s="962">
        <f>'Table 3 Levels 1&amp;2'!AL29</f>
        <v>6203.2933768722742</v>
      </c>
      <c r="E28" s="1011">
        <f t="shared" si="2"/>
        <v>0</v>
      </c>
      <c r="F28" s="1011">
        <f>'Table 4 Level 3'!P27</f>
        <v>496.36</v>
      </c>
      <c r="G28" s="1011">
        <f t="shared" si="3"/>
        <v>0</v>
      </c>
      <c r="H28" s="982">
        <f t="shared" si="4"/>
        <v>0</v>
      </c>
      <c r="I28" s="1021">
        <f t="shared" si="5"/>
        <v>0</v>
      </c>
      <c r="J28" s="982">
        <f t="shared" si="6"/>
        <v>0</v>
      </c>
      <c r="K28" s="982">
        <v>0</v>
      </c>
      <c r="L28" s="982">
        <f t="shared" si="7"/>
        <v>0</v>
      </c>
      <c r="M28" s="982">
        <f t="shared" si="8"/>
        <v>0</v>
      </c>
      <c r="N28" s="981">
        <f>'Table 5C1A-Madison Prep'!N28</f>
        <v>1438</v>
      </c>
      <c r="O28" s="983">
        <f t="shared" si="9"/>
        <v>0</v>
      </c>
      <c r="P28" s="1029">
        <f t="shared" si="10"/>
        <v>0</v>
      </c>
      <c r="Q28" s="983">
        <f t="shared" si="11"/>
        <v>0</v>
      </c>
      <c r="R28" s="983">
        <v>0</v>
      </c>
      <c r="S28" s="983">
        <f t="shared" si="12"/>
        <v>0</v>
      </c>
      <c r="T28" s="983">
        <f t="shared" si="13"/>
        <v>0</v>
      </c>
      <c r="U28" s="984">
        <f t="shared" si="14"/>
        <v>0</v>
      </c>
      <c r="V28" s="984">
        <f t="shared" si="14"/>
        <v>0</v>
      </c>
    </row>
    <row r="29" spans="1:22">
      <c r="A29" s="960">
        <v>23</v>
      </c>
      <c r="B29" s="961" t="s">
        <v>115</v>
      </c>
      <c r="C29" s="1078">
        <f>'2-1-13 SIS'!G29</f>
        <v>0</v>
      </c>
      <c r="D29" s="962">
        <f>'Table 3 Levels 1&amp;2'!AL30</f>
        <v>4846.0802490067681</v>
      </c>
      <c r="E29" s="1011">
        <f t="shared" si="2"/>
        <v>0</v>
      </c>
      <c r="F29" s="1011">
        <f>'Table 4 Level 3'!P28</f>
        <v>688.58</v>
      </c>
      <c r="G29" s="1011">
        <f t="shared" si="3"/>
        <v>0</v>
      </c>
      <c r="H29" s="982">
        <f t="shared" si="4"/>
        <v>0</v>
      </c>
      <c r="I29" s="1021">
        <f t="shared" si="5"/>
        <v>0</v>
      </c>
      <c r="J29" s="982">
        <f t="shared" si="6"/>
        <v>0</v>
      </c>
      <c r="K29" s="982">
        <v>0</v>
      </c>
      <c r="L29" s="982">
        <f t="shared" si="7"/>
        <v>0</v>
      </c>
      <c r="M29" s="982">
        <f t="shared" si="8"/>
        <v>0</v>
      </c>
      <c r="N29" s="981">
        <f>'Table 5C1A-Madison Prep'!N29</f>
        <v>3386</v>
      </c>
      <c r="O29" s="983">
        <f t="shared" si="9"/>
        <v>0</v>
      </c>
      <c r="P29" s="1029">
        <f t="shared" si="10"/>
        <v>0</v>
      </c>
      <c r="Q29" s="983">
        <f t="shared" si="11"/>
        <v>0</v>
      </c>
      <c r="R29" s="983">
        <v>0</v>
      </c>
      <c r="S29" s="983">
        <f t="shared" si="12"/>
        <v>0</v>
      </c>
      <c r="T29" s="983">
        <f t="shared" si="13"/>
        <v>0</v>
      </c>
      <c r="U29" s="984">
        <f t="shared" si="14"/>
        <v>0</v>
      </c>
      <c r="V29" s="984">
        <f t="shared" si="14"/>
        <v>0</v>
      </c>
    </row>
    <row r="30" spans="1:22">
      <c r="A30" s="960">
        <v>24</v>
      </c>
      <c r="B30" s="961" t="s">
        <v>116</v>
      </c>
      <c r="C30" s="1078">
        <f>'2-1-13 SIS'!G30</f>
        <v>0</v>
      </c>
      <c r="D30" s="962">
        <f>'Table 3 Levels 1&amp;2'!AL31</f>
        <v>2764.1216755319151</v>
      </c>
      <c r="E30" s="1011">
        <f t="shared" si="2"/>
        <v>0</v>
      </c>
      <c r="F30" s="1011">
        <f>'Table 4 Level 3'!P29</f>
        <v>854.24999999999989</v>
      </c>
      <c r="G30" s="1011">
        <f t="shared" si="3"/>
        <v>0</v>
      </c>
      <c r="H30" s="982">
        <f t="shared" si="4"/>
        <v>0</v>
      </c>
      <c r="I30" s="1021">
        <f t="shared" si="5"/>
        <v>0</v>
      </c>
      <c r="J30" s="982">
        <f t="shared" si="6"/>
        <v>0</v>
      </c>
      <c r="K30" s="982">
        <v>0</v>
      </c>
      <c r="L30" s="982">
        <f t="shared" si="7"/>
        <v>0</v>
      </c>
      <c r="M30" s="982">
        <f t="shared" si="8"/>
        <v>0</v>
      </c>
      <c r="N30" s="981">
        <f>'Table 5C1A-Madison Prep'!N30</f>
        <v>9761</v>
      </c>
      <c r="O30" s="983">
        <f t="shared" si="9"/>
        <v>0</v>
      </c>
      <c r="P30" s="1029">
        <f t="shared" si="10"/>
        <v>0</v>
      </c>
      <c r="Q30" s="983">
        <f t="shared" si="11"/>
        <v>0</v>
      </c>
      <c r="R30" s="983">
        <v>0</v>
      </c>
      <c r="S30" s="983">
        <f t="shared" si="12"/>
        <v>0</v>
      </c>
      <c r="T30" s="983">
        <f t="shared" si="13"/>
        <v>0</v>
      </c>
      <c r="U30" s="984">
        <f t="shared" si="14"/>
        <v>0</v>
      </c>
      <c r="V30" s="984">
        <f t="shared" si="14"/>
        <v>0</v>
      </c>
    </row>
    <row r="31" spans="1:22">
      <c r="A31" s="963">
        <v>25</v>
      </c>
      <c r="B31" s="964" t="s">
        <v>117</v>
      </c>
      <c r="C31" s="1079">
        <f>'2-1-13 SIS'!G31</f>
        <v>0</v>
      </c>
      <c r="D31" s="965">
        <f>'Table 3 Levels 1&amp;2'!AL32</f>
        <v>3867.4480692053257</v>
      </c>
      <c r="E31" s="1012">
        <f t="shared" si="2"/>
        <v>0</v>
      </c>
      <c r="F31" s="1012">
        <f>'Table 4 Level 3'!P30</f>
        <v>653.73</v>
      </c>
      <c r="G31" s="1012">
        <f t="shared" si="3"/>
        <v>0</v>
      </c>
      <c r="H31" s="985">
        <f t="shared" si="4"/>
        <v>0</v>
      </c>
      <c r="I31" s="1022">
        <f t="shared" si="5"/>
        <v>0</v>
      </c>
      <c r="J31" s="985">
        <f t="shared" si="6"/>
        <v>0</v>
      </c>
      <c r="K31" s="985">
        <v>0</v>
      </c>
      <c r="L31" s="985">
        <f t="shared" si="7"/>
        <v>0</v>
      </c>
      <c r="M31" s="985">
        <f t="shared" si="8"/>
        <v>0</v>
      </c>
      <c r="N31" s="986">
        <f>'Table 5C1A-Madison Prep'!N31</f>
        <v>4842</v>
      </c>
      <c r="O31" s="987">
        <f t="shared" si="9"/>
        <v>0</v>
      </c>
      <c r="P31" s="1030">
        <f t="shared" si="10"/>
        <v>0</v>
      </c>
      <c r="Q31" s="987">
        <f t="shared" si="11"/>
        <v>0</v>
      </c>
      <c r="R31" s="987">
        <v>0</v>
      </c>
      <c r="S31" s="987">
        <f t="shared" si="12"/>
        <v>0</v>
      </c>
      <c r="T31" s="987">
        <f t="shared" si="13"/>
        <v>0</v>
      </c>
      <c r="U31" s="988">
        <f t="shared" si="14"/>
        <v>0</v>
      </c>
      <c r="V31" s="988">
        <f t="shared" si="14"/>
        <v>0</v>
      </c>
    </row>
    <row r="32" spans="1:22">
      <c r="A32" s="953">
        <v>26</v>
      </c>
      <c r="B32" s="954" t="s">
        <v>118</v>
      </c>
      <c r="C32" s="1080">
        <f>'2-1-13 SIS'!G32</f>
        <v>0</v>
      </c>
      <c r="D32" s="956">
        <f>'Table 3 Levels 1&amp;2'!AL33</f>
        <v>3293.481526790355</v>
      </c>
      <c r="E32" s="1010">
        <f t="shared" si="2"/>
        <v>0</v>
      </c>
      <c r="F32" s="1010">
        <f>'Table 4 Level 3'!P31</f>
        <v>836.83</v>
      </c>
      <c r="G32" s="1010">
        <f t="shared" si="3"/>
        <v>0</v>
      </c>
      <c r="H32" s="957">
        <f t="shared" si="4"/>
        <v>0</v>
      </c>
      <c r="I32" s="1020">
        <f t="shared" si="5"/>
        <v>0</v>
      </c>
      <c r="J32" s="957">
        <f t="shared" si="6"/>
        <v>0</v>
      </c>
      <c r="K32" s="957">
        <v>0</v>
      </c>
      <c r="L32" s="957">
        <f t="shared" si="7"/>
        <v>0</v>
      </c>
      <c r="M32" s="957">
        <f t="shared" si="8"/>
        <v>0</v>
      </c>
      <c r="N32" s="981">
        <f>'Table 5C1A-Madison Prep'!N32</f>
        <v>5301</v>
      </c>
      <c r="O32" s="958">
        <f t="shared" si="9"/>
        <v>0</v>
      </c>
      <c r="P32" s="1028">
        <f t="shared" si="10"/>
        <v>0</v>
      </c>
      <c r="Q32" s="958">
        <f t="shared" si="11"/>
        <v>0</v>
      </c>
      <c r="R32" s="958">
        <v>0</v>
      </c>
      <c r="S32" s="958">
        <f t="shared" si="12"/>
        <v>0</v>
      </c>
      <c r="T32" s="958">
        <f t="shared" si="13"/>
        <v>0</v>
      </c>
      <c r="U32" s="959">
        <f t="shared" si="14"/>
        <v>0</v>
      </c>
      <c r="V32" s="959">
        <f t="shared" si="14"/>
        <v>0</v>
      </c>
    </row>
    <row r="33" spans="1:22">
      <c r="A33" s="960">
        <v>27</v>
      </c>
      <c r="B33" s="961" t="s">
        <v>119</v>
      </c>
      <c r="C33" s="1081">
        <f>'2-1-13 SIS'!G33</f>
        <v>8</v>
      </c>
      <c r="D33" s="966">
        <f>'Table 3 Levels 1&amp;2'!AL34</f>
        <v>5680.7727517381973</v>
      </c>
      <c r="E33" s="1013">
        <f t="shared" si="2"/>
        <v>45446.182013905578</v>
      </c>
      <c r="F33" s="1013">
        <f>'Table 4 Level 3'!P32</f>
        <v>693.06</v>
      </c>
      <c r="G33" s="1013">
        <f t="shared" si="3"/>
        <v>5544.48</v>
      </c>
      <c r="H33" s="989">
        <f t="shared" si="4"/>
        <v>50990.662013905574</v>
      </c>
      <c r="I33" s="1023">
        <f t="shared" si="5"/>
        <v>-127.47665503476394</v>
      </c>
      <c r="J33" s="989">
        <f t="shared" si="6"/>
        <v>50863.185358870811</v>
      </c>
      <c r="K33" s="989">
        <v>0</v>
      </c>
      <c r="L33" s="989">
        <f t="shared" si="7"/>
        <v>50863.185358870811</v>
      </c>
      <c r="M33" s="989">
        <f t="shared" si="8"/>
        <v>4238.5987799059012</v>
      </c>
      <c r="N33" s="981">
        <f>'Table 5C1A-Madison Prep'!N33</f>
        <v>3252</v>
      </c>
      <c r="O33" s="983">
        <f t="shared" si="9"/>
        <v>26016</v>
      </c>
      <c r="P33" s="1029">
        <f t="shared" si="10"/>
        <v>-65.040000000000006</v>
      </c>
      <c r="Q33" s="983">
        <f t="shared" si="11"/>
        <v>25950.959999999999</v>
      </c>
      <c r="R33" s="983">
        <v>0</v>
      </c>
      <c r="S33" s="983">
        <f t="shared" si="12"/>
        <v>25950.959999999999</v>
      </c>
      <c r="T33" s="983">
        <f t="shared" si="13"/>
        <v>2162.58</v>
      </c>
      <c r="U33" s="984">
        <f t="shared" si="14"/>
        <v>76814.14535887081</v>
      </c>
      <c r="V33" s="984">
        <f t="shared" si="14"/>
        <v>6401.1787799059011</v>
      </c>
    </row>
    <row r="34" spans="1:22">
      <c r="A34" s="960">
        <v>28</v>
      </c>
      <c r="B34" s="961" t="s">
        <v>120</v>
      </c>
      <c r="C34" s="1081">
        <f>'2-1-13 SIS'!G34</f>
        <v>0</v>
      </c>
      <c r="D34" s="966">
        <f>'Table 3 Levels 1&amp;2'!AL35</f>
        <v>3163.1694438483169</v>
      </c>
      <c r="E34" s="1013">
        <f t="shared" si="2"/>
        <v>0</v>
      </c>
      <c r="F34" s="1013">
        <f>'Table 4 Level 3'!P33</f>
        <v>694.4</v>
      </c>
      <c r="G34" s="1013">
        <f t="shared" si="3"/>
        <v>0</v>
      </c>
      <c r="H34" s="989">
        <f t="shared" si="4"/>
        <v>0</v>
      </c>
      <c r="I34" s="1023">
        <f t="shared" si="5"/>
        <v>0</v>
      </c>
      <c r="J34" s="989">
        <f t="shared" si="6"/>
        <v>0</v>
      </c>
      <c r="K34" s="989">
        <v>0</v>
      </c>
      <c r="L34" s="989">
        <f t="shared" si="7"/>
        <v>0</v>
      </c>
      <c r="M34" s="989">
        <f t="shared" si="8"/>
        <v>0</v>
      </c>
      <c r="N34" s="981">
        <f>'Table 5C1A-Madison Prep'!N34</f>
        <v>5361</v>
      </c>
      <c r="O34" s="983">
        <f t="shared" si="9"/>
        <v>0</v>
      </c>
      <c r="P34" s="1029">
        <f t="shared" si="10"/>
        <v>0</v>
      </c>
      <c r="Q34" s="983">
        <f t="shared" si="11"/>
        <v>0</v>
      </c>
      <c r="R34" s="983">
        <v>0</v>
      </c>
      <c r="S34" s="983">
        <f t="shared" si="12"/>
        <v>0</v>
      </c>
      <c r="T34" s="983">
        <f t="shared" si="13"/>
        <v>0</v>
      </c>
      <c r="U34" s="984">
        <f t="shared" si="14"/>
        <v>0</v>
      </c>
      <c r="V34" s="984">
        <f t="shared" si="14"/>
        <v>0</v>
      </c>
    </row>
    <row r="35" spans="1:22">
      <c r="A35" s="960">
        <v>29</v>
      </c>
      <c r="B35" s="961" t="s">
        <v>121</v>
      </c>
      <c r="C35" s="1081">
        <f>'2-1-13 SIS'!G35</f>
        <v>0</v>
      </c>
      <c r="D35" s="966">
        <f>'Table 3 Levels 1&amp;2'!AL36</f>
        <v>3952.5586133052648</v>
      </c>
      <c r="E35" s="1013">
        <f t="shared" si="2"/>
        <v>0</v>
      </c>
      <c r="F35" s="1013">
        <f>'Table 4 Level 3'!P34</f>
        <v>754.94999999999993</v>
      </c>
      <c r="G35" s="1013">
        <f t="shared" si="3"/>
        <v>0</v>
      </c>
      <c r="H35" s="989">
        <f t="shared" si="4"/>
        <v>0</v>
      </c>
      <c r="I35" s="1023">
        <f t="shared" si="5"/>
        <v>0</v>
      </c>
      <c r="J35" s="989">
        <f t="shared" si="6"/>
        <v>0</v>
      </c>
      <c r="K35" s="989">
        <v>0</v>
      </c>
      <c r="L35" s="989">
        <f t="shared" si="7"/>
        <v>0</v>
      </c>
      <c r="M35" s="989">
        <f t="shared" si="8"/>
        <v>0</v>
      </c>
      <c r="N35" s="981">
        <f>'Table 5C1A-Madison Prep'!N35</f>
        <v>4763</v>
      </c>
      <c r="O35" s="983">
        <f t="shared" si="9"/>
        <v>0</v>
      </c>
      <c r="P35" s="1029">
        <f t="shared" si="10"/>
        <v>0</v>
      </c>
      <c r="Q35" s="983">
        <f t="shared" si="11"/>
        <v>0</v>
      </c>
      <c r="R35" s="983">
        <v>0</v>
      </c>
      <c r="S35" s="983">
        <f t="shared" si="12"/>
        <v>0</v>
      </c>
      <c r="T35" s="983">
        <f t="shared" si="13"/>
        <v>0</v>
      </c>
      <c r="U35" s="984">
        <f t="shared" si="14"/>
        <v>0</v>
      </c>
      <c r="V35" s="984">
        <f t="shared" si="14"/>
        <v>0</v>
      </c>
    </row>
    <row r="36" spans="1:22">
      <c r="A36" s="963">
        <v>30</v>
      </c>
      <c r="B36" s="964" t="s">
        <v>122</v>
      </c>
      <c r="C36" s="1082">
        <f>'2-1-13 SIS'!G36</f>
        <v>0</v>
      </c>
      <c r="D36" s="967">
        <f>'Table 3 Levels 1&amp;2'!AL37</f>
        <v>5648.6510465852989</v>
      </c>
      <c r="E36" s="1014">
        <f t="shared" si="2"/>
        <v>0</v>
      </c>
      <c r="F36" s="1014">
        <f>'Table 4 Level 3'!P35</f>
        <v>727.17</v>
      </c>
      <c r="G36" s="1014">
        <f t="shared" si="3"/>
        <v>0</v>
      </c>
      <c r="H36" s="990">
        <f t="shared" si="4"/>
        <v>0</v>
      </c>
      <c r="I36" s="1024">
        <f t="shared" si="5"/>
        <v>0</v>
      </c>
      <c r="J36" s="990">
        <f t="shared" si="6"/>
        <v>0</v>
      </c>
      <c r="K36" s="990">
        <v>0</v>
      </c>
      <c r="L36" s="990">
        <f t="shared" si="7"/>
        <v>0</v>
      </c>
      <c r="M36" s="990">
        <f t="shared" si="8"/>
        <v>0</v>
      </c>
      <c r="N36" s="986">
        <f>'Table 5C1A-Madison Prep'!N36</f>
        <v>3236</v>
      </c>
      <c r="O36" s="987">
        <f t="shared" si="9"/>
        <v>0</v>
      </c>
      <c r="P36" s="1030">
        <f t="shared" si="10"/>
        <v>0</v>
      </c>
      <c r="Q36" s="987">
        <f t="shared" si="11"/>
        <v>0</v>
      </c>
      <c r="R36" s="987">
        <v>0</v>
      </c>
      <c r="S36" s="987">
        <f t="shared" si="12"/>
        <v>0</v>
      </c>
      <c r="T36" s="987">
        <f t="shared" si="13"/>
        <v>0</v>
      </c>
      <c r="U36" s="988">
        <f t="shared" si="14"/>
        <v>0</v>
      </c>
      <c r="V36" s="988">
        <f t="shared" si="14"/>
        <v>0</v>
      </c>
    </row>
    <row r="37" spans="1:22">
      <c r="A37" s="953">
        <v>31</v>
      </c>
      <c r="B37" s="954" t="s">
        <v>123</v>
      </c>
      <c r="C37" s="1083">
        <f>'2-1-13 SIS'!G37</f>
        <v>0</v>
      </c>
      <c r="D37" s="968">
        <f>'Table 3 Levels 1&amp;2'!AL38</f>
        <v>4348.9307899232972</v>
      </c>
      <c r="E37" s="1015">
        <f t="shared" si="2"/>
        <v>0</v>
      </c>
      <c r="F37" s="1015">
        <f>'Table 4 Level 3'!P36</f>
        <v>620.83000000000004</v>
      </c>
      <c r="G37" s="1015">
        <f t="shared" si="3"/>
        <v>0</v>
      </c>
      <c r="H37" s="991">
        <f t="shared" si="4"/>
        <v>0</v>
      </c>
      <c r="I37" s="1025">
        <f t="shared" si="5"/>
        <v>0</v>
      </c>
      <c r="J37" s="991">
        <f t="shared" si="6"/>
        <v>0</v>
      </c>
      <c r="K37" s="991">
        <v>0</v>
      </c>
      <c r="L37" s="991">
        <f t="shared" si="7"/>
        <v>0</v>
      </c>
      <c r="M37" s="991">
        <f t="shared" si="8"/>
        <v>0</v>
      </c>
      <c r="N37" s="981">
        <f>'Table 5C1A-Madison Prep'!N37</f>
        <v>4795</v>
      </c>
      <c r="O37" s="958">
        <f t="shared" si="9"/>
        <v>0</v>
      </c>
      <c r="P37" s="1028">
        <f t="shared" si="10"/>
        <v>0</v>
      </c>
      <c r="Q37" s="958">
        <f t="shared" si="11"/>
        <v>0</v>
      </c>
      <c r="R37" s="958">
        <v>0</v>
      </c>
      <c r="S37" s="958">
        <f t="shared" si="12"/>
        <v>0</v>
      </c>
      <c r="T37" s="958">
        <f t="shared" si="13"/>
        <v>0</v>
      </c>
      <c r="U37" s="959">
        <f t="shared" si="14"/>
        <v>0</v>
      </c>
      <c r="V37" s="959">
        <f t="shared" si="14"/>
        <v>0</v>
      </c>
    </row>
    <row r="38" spans="1:22">
      <c r="A38" s="960">
        <v>32</v>
      </c>
      <c r="B38" s="961" t="s">
        <v>124</v>
      </c>
      <c r="C38" s="1081">
        <f>'2-1-13 SIS'!G38</f>
        <v>0</v>
      </c>
      <c r="D38" s="966">
        <f>'Table 3 Levels 1&amp;2'!AL39</f>
        <v>5531.5157655456787</v>
      </c>
      <c r="E38" s="1013">
        <f t="shared" si="2"/>
        <v>0</v>
      </c>
      <c r="F38" s="1013">
        <f>'Table 4 Level 3'!P37</f>
        <v>559.77</v>
      </c>
      <c r="G38" s="1013">
        <f t="shared" si="3"/>
        <v>0</v>
      </c>
      <c r="H38" s="989">
        <f t="shared" si="4"/>
        <v>0</v>
      </c>
      <c r="I38" s="1023">
        <f t="shared" si="5"/>
        <v>0</v>
      </c>
      <c r="J38" s="989">
        <f t="shared" si="6"/>
        <v>0</v>
      </c>
      <c r="K38" s="989">
        <v>0</v>
      </c>
      <c r="L38" s="989">
        <f t="shared" si="7"/>
        <v>0</v>
      </c>
      <c r="M38" s="989">
        <f t="shared" si="8"/>
        <v>0</v>
      </c>
      <c r="N38" s="981">
        <f>'Table 5C1A-Madison Prep'!N38</f>
        <v>2109</v>
      </c>
      <c r="O38" s="983">
        <f t="shared" si="9"/>
        <v>0</v>
      </c>
      <c r="P38" s="1029">
        <f t="shared" si="10"/>
        <v>0</v>
      </c>
      <c r="Q38" s="983">
        <f t="shared" si="11"/>
        <v>0</v>
      </c>
      <c r="R38" s="983">
        <v>0</v>
      </c>
      <c r="S38" s="983">
        <f t="shared" si="12"/>
        <v>0</v>
      </c>
      <c r="T38" s="983">
        <f t="shared" si="13"/>
        <v>0</v>
      </c>
      <c r="U38" s="984">
        <f t="shared" si="14"/>
        <v>0</v>
      </c>
      <c r="V38" s="984">
        <f t="shared" si="14"/>
        <v>0</v>
      </c>
    </row>
    <row r="39" spans="1:22">
      <c r="A39" s="960">
        <v>33</v>
      </c>
      <c r="B39" s="961" t="s">
        <v>125</v>
      </c>
      <c r="C39" s="1081">
        <f>'2-1-13 SIS'!G39</f>
        <v>0</v>
      </c>
      <c r="D39" s="966">
        <f>'Table 3 Levels 1&amp;2'!AL40</f>
        <v>5329.5444226517857</v>
      </c>
      <c r="E39" s="1013">
        <f t="shared" si="2"/>
        <v>0</v>
      </c>
      <c r="F39" s="1013">
        <f>'Table 4 Level 3'!P38</f>
        <v>655.31000000000006</v>
      </c>
      <c r="G39" s="1013">
        <f t="shared" si="3"/>
        <v>0</v>
      </c>
      <c r="H39" s="989">
        <f t="shared" si="4"/>
        <v>0</v>
      </c>
      <c r="I39" s="1023">
        <f t="shared" si="5"/>
        <v>0</v>
      </c>
      <c r="J39" s="989">
        <f t="shared" si="6"/>
        <v>0</v>
      </c>
      <c r="K39" s="989">
        <v>0</v>
      </c>
      <c r="L39" s="989">
        <f t="shared" si="7"/>
        <v>0</v>
      </c>
      <c r="M39" s="989">
        <f t="shared" si="8"/>
        <v>0</v>
      </c>
      <c r="N39" s="981">
        <f>'Table 5C1A-Madison Prep'!N39</f>
        <v>2649</v>
      </c>
      <c r="O39" s="983">
        <f t="shared" si="9"/>
        <v>0</v>
      </c>
      <c r="P39" s="1029">
        <f t="shared" si="10"/>
        <v>0</v>
      </c>
      <c r="Q39" s="983">
        <f t="shared" si="11"/>
        <v>0</v>
      </c>
      <c r="R39" s="983">
        <v>0</v>
      </c>
      <c r="S39" s="983">
        <f t="shared" si="12"/>
        <v>0</v>
      </c>
      <c r="T39" s="983">
        <f t="shared" si="13"/>
        <v>0</v>
      </c>
      <c r="U39" s="984">
        <f t="shared" si="14"/>
        <v>0</v>
      </c>
      <c r="V39" s="984">
        <f t="shared" si="14"/>
        <v>0</v>
      </c>
    </row>
    <row r="40" spans="1:22">
      <c r="A40" s="960">
        <v>34</v>
      </c>
      <c r="B40" s="961" t="s">
        <v>126</v>
      </c>
      <c r="C40" s="1081">
        <f>'2-1-13 SIS'!G40</f>
        <v>0</v>
      </c>
      <c r="D40" s="966">
        <f>'Table 3 Levels 1&amp;2'!AL41</f>
        <v>6003.632932007491</v>
      </c>
      <c r="E40" s="1013">
        <f t="shared" si="2"/>
        <v>0</v>
      </c>
      <c r="F40" s="1013">
        <f>'Table 4 Level 3'!P39</f>
        <v>644.11000000000013</v>
      </c>
      <c r="G40" s="1013">
        <f t="shared" si="3"/>
        <v>0</v>
      </c>
      <c r="H40" s="989">
        <f t="shared" si="4"/>
        <v>0</v>
      </c>
      <c r="I40" s="1023">
        <f t="shared" si="5"/>
        <v>0</v>
      </c>
      <c r="J40" s="989">
        <f t="shared" si="6"/>
        <v>0</v>
      </c>
      <c r="K40" s="989">
        <v>0</v>
      </c>
      <c r="L40" s="989">
        <f t="shared" si="7"/>
        <v>0</v>
      </c>
      <c r="M40" s="989">
        <f t="shared" si="8"/>
        <v>0</v>
      </c>
      <c r="N40" s="981">
        <f>'Table 5C1A-Madison Prep'!N40</f>
        <v>2817</v>
      </c>
      <c r="O40" s="983">
        <f t="shared" si="9"/>
        <v>0</v>
      </c>
      <c r="P40" s="1029">
        <f t="shared" si="10"/>
        <v>0</v>
      </c>
      <c r="Q40" s="983">
        <f t="shared" si="11"/>
        <v>0</v>
      </c>
      <c r="R40" s="983">
        <v>0</v>
      </c>
      <c r="S40" s="983">
        <f t="shared" si="12"/>
        <v>0</v>
      </c>
      <c r="T40" s="983">
        <f t="shared" si="13"/>
        <v>0</v>
      </c>
      <c r="U40" s="984">
        <f t="shared" si="14"/>
        <v>0</v>
      </c>
      <c r="V40" s="984">
        <f t="shared" si="14"/>
        <v>0</v>
      </c>
    </row>
    <row r="41" spans="1:22">
      <c r="A41" s="963">
        <v>35</v>
      </c>
      <c r="B41" s="964" t="s">
        <v>127</v>
      </c>
      <c r="C41" s="1082">
        <f>'2-1-13 SIS'!G41</f>
        <v>0</v>
      </c>
      <c r="D41" s="967">
        <f>'Table 3 Levels 1&amp;2'!AL42</f>
        <v>4607.1606416222867</v>
      </c>
      <c r="E41" s="1014">
        <f t="shared" si="2"/>
        <v>0</v>
      </c>
      <c r="F41" s="1014">
        <f>'Table 4 Level 3'!P40</f>
        <v>537.96</v>
      </c>
      <c r="G41" s="1014">
        <f t="shared" si="3"/>
        <v>0</v>
      </c>
      <c r="H41" s="990">
        <f t="shared" si="4"/>
        <v>0</v>
      </c>
      <c r="I41" s="1024">
        <f t="shared" si="5"/>
        <v>0</v>
      </c>
      <c r="J41" s="990">
        <f t="shared" si="6"/>
        <v>0</v>
      </c>
      <c r="K41" s="990">
        <v>0</v>
      </c>
      <c r="L41" s="990">
        <f t="shared" si="7"/>
        <v>0</v>
      </c>
      <c r="M41" s="990">
        <f t="shared" si="8"/>
        <v>0</v>
      </c>
      <c r="N41" s="986">
        <f>'Table 5C1A-Madison Prep'!N41</f>
        <v>3298</v>
      </c>
      <c r="O41" s="987">
        <f t="shared" si="9"/>
        <v>0</v>
      </c>
      <c r="P41" s="1030">
        <f t="shared" si="10"/>
        <v>0</v>
      </c>
      <c r="Q41" s="987">
        <f t="shared" si="11"/>
        <v>0</v>
      </c>
      <c r="R41" s="987">
        <v>0</v>
      </c>
      <c r="S41" s="987">
        <f t="shared" si="12"/>
        <v>0</v>
      </c>
      <c r="T41" s="987">
        <f t="shared" si="13"/>
        <v>0</v>
      </c>
      <c r="U41" s="988">
        <f t="shared" si="14"/>
        <v>0</v>
      </c>
      <c r="V41" s="988">
        <f t="shared" si="14"/>
        <v>0</v>
      </c>
    </row>
    <row r="42" spans="1:22">
      <c r="A42" s="953">
        <v>36</v>
      </c>
      <c r="B42" s="954" t="s">
        <v>128</v>
      </c>
      <c r="C42" s="1083">
        <f>'2-1-13 SIS'!G42</f>
        <v>0</v>
      </c>
      <c r="D42" s="968">
        <f>'Table 3 Levels 1&amp;2'!AL43</f>
        <v>3520.4894337711748</v>
      </c>
      <c r="E42" s="1015">
        <f t="shared" si="2"/>
        <v>0</v>
      </c>
      <c r="F42" s="1015">
        <f>'Table 5B1_RSD_Orleans'!F78</f>
        <v>746.0335616438357</v>
      </c>
      <c r="G42" s="1015">
        <f t="shared" si="3"/>
        <v>0</v>
      </c>
      <c r="H42" s="991">
        <f t="shared" si="4"/>
        <v>0</v>
      </c>
      <c r="I42" s="1025">
        <f t="shared" si="5"/>
        <v>0</v>
      </c>
      <c r="J42" s="991">
        <f t="shared" si="6"/>
        <v>0</v>
      </c>
      <c r="K42" s="991">
        <v>0</v>
      </c>
      <c r="L42" s="991">
        <f t="shared" si="7"/>
        <v>0</v>
      </c>
      <c r="M42" s="991">
        <f t="shared" si="8"/>
        <v>0</v>
      </c>
      <c r="N42" s="981">
        <f>'Table 5C1A-Madison Prep'!N42</f>
        <v>5442</v>
      </c>
      <c r="O42" s="958">
        <f t="shared" si="9"/>
        <v>0</v>
      </c>
      <c r="P42" s="1028">
        <f t="shared" si="10"/>
        <v>0</v>
      </c>
      <c r="Q42" s="958">
        <f t="shared" si="11"/>
        <v>0</v>
      </c>
      <c r="R42" s="958">
        <v>0</v>
      </c>
      <c r="S42" s="958">
        <f t="shared" si="12"/>
        <v>0</v>
      </c>
      <c r="T42" s="958">
        <f t="shared" si="13"/>
        <v>0</v>
      </c>
      <c r="U42" s="959">
        <f t="shared" si="14"/>
        <v>0</v>
      </c>
      <c r="V42" s="959">
        <f t="shared" si="14"/>
        <v>0</v>
      </c>
    </row>
    <row r="43" spans="1:22">
      <c r="A43" s="960">
        <v>37</v>
      </c>
      <c r="B43" s="961" t="s">
        <v>129</v>
      </c>
      <c r="C43" s="1081">
        <f>'2-1-13 SIS'!G43</f>
        <v>0</v>
      </c>
      <c r="D43" s="966">
        <f>'Table 3 Levels 1&amp;2'!AL44</f>
        <v>5503.7595641818853</v>
      </c>
      <c r="E43" s="1013">
        <f t="shared" si="2"/>
        <v>0</v>
      </c>
      <c r="F43" s="1013">
        <f>'Table 4 Level 3'!P42</f>
        <v>653.61</v>
      </c>
      <c r="G43" s="1013">
        <f t="shared" si="3"/>
        <v>0</v>
      </c>
      <c r="H43" s="989">
        <f t="shared" si="4"/>
        <v>0</v>
      </c>
      <c r="I43" s="1023">
        <f t="shared" si="5"/>
        <v>0</v>
      </c>
      <c r="J43" s="989">
        <f t="shared" si="6"/>
        <v>0</v>
      </c>
      <c r="K43" s="989">
        <v>0</v>
      </c>
      <c r="L43" s="989">
        <f t="shared" si="7"/>
        <v>0</v>
      </c>
      <c r="M43" s="989">
        <f t="shared" si="8"/>
        <v>0</v>
      </c>
      <c r="N43" s="981">
        <f>'Table 5C1A-Madison Prep'!N43</f>
        <v>3227</v>
      </c>
      <c r="O43" s="983">
        <f t="shared" si="9"/>
        <v>0</v>
      </c>
      <c r="P43" s="1029">
        <f t="shared" si="10"/>
        <v>0</v>
      </c>
      <c r="Q43" s="983">
        <f t="shared" si="11"/>
        <v>0</v>
      </c>
      <c r="R43" s="983">
        <v>0</v>
      </c>
      <c r="S43" s="983">
        <f t="shared" si="12"/>
        <v>0</v>
      </c>
      <c r="T43" s="983">
        <f t="shared" si="13"/>
        <v>0</v>
      </c>
      <c r="U43" s="984">
        <f t="shared" si="14"/>
        <v>0</v>
      </c>
      <c r="V43" s="984">
        <f t="shared" si="14"/>
        <v>0</v>
      </c>
    </row>
    <row r="44" spans="1:22">
      <c r="A44" s="960">
        <v>38</v>
      </c>
      <c r="B44" s="961" t="s">
        <v>130</v>
      </c>
      <c r="C44" s="1081">
        <f>'2-1-13 SIS'!G44</f>
        <v>0</v>
      </c>
      <c r="D44" s="966">
        <f>'Table 3 Levels 1&amp;2'!AL45</f>
        <v>2192.7545275590551</v>
      </c>
      <c r="E44" s="1013">
        <f t="shared" si="2"/>
        <v>0</v>
      </c>
      <c r="F44" s="1013">
        <f>'Table 4 Level 3'!P43</f>
        <v>829.92000000000007</v>
      </c>
      <c r="G44" s="1013">
        <f t="shared" si="3"/>
        <v>0</v>
      </c>
      <c r="H44" s="989">
        <f t="shared" si="4"/>
        <v>0</v>
      </c>
      <c r="I44" s="1023">
        <f t="shared" si="5"/>
        <v>0</v>
      </c>
      <c r="J44" s="989">
        <f t="shared" si="6"/>
        <v>0</v>
      </c>
      <c r="K44" s="989">
        <v>0</v>
      </c>
      <c r="L44" s="989">
        <f t="shared" si="7"/>
        <v>0</v>
      </c>
      <c r="M44" s="989">
        <f t="shared" si="8"/>
        <v>0</v>
      </c>
      <c r="N44" s="981">
        <f>'Table 5C1A-Madison Prep'!N44</f>
        <v>10867</v>
      </c>
      <c r="O44" s="983">
        <f t="shared" si="9"/>
        <v>0</v>
      </c>
      <c r="P44" s="1029">
        <f t="shared" si="10"/>
        <v>0</v>
      </c>
      <c r="Q44" s="983">
        <f t="shared" si="11"/>
        <v>0</v>
      </c>
      <c r="R44" s="983">
        <v>0</v>
      </c>
      <c r="S44" s="983">
        <f t="shared" si="12"/>
        <v>0</v>
      </c>
      <c r="T44" s="983">
        <f t="shared" si="13"/>
        <v>0</v>
      </c>
      <c r="U44" s="984">
        <f t="shared" si="14"/>
        <v>0</v>
      </c>
      <c r="V44" s="984">
        <f t="shared" si="14"/>
        <v>0</v>
      </c>
    </row>
    <row r="45" spans="1:22">
      <c r="A45" s="960">
        <v>39</v>
      </c>
      <c r="B45" s="961" t="s">
        <v>131</v>
      </c>
      <c r="C45" s="1081">
        <f>'2-1-13 SIS'!G45</f>
        <v>0</v>
      </c>
      <c r="D45" s="966">
        <f>'Table 3 Levels 1&amp;2'!AL46</f>
        <v>3639.9942778062696</v>
      </c>
      <c r="E45" s="1013">
        <f t="shared" si="2"/>
        <v>0</v>
      </c>
      <c r="F45" s="1013">
        <f>'Table 5B2_RSD_LA'!F21</f>
        <v>779.65573042776441</v>
      </c>
      <c r="G45" s="1013">
        <f t="shared" si="3"/>
        <v>0</v>
      </c>
      <c r="H45" s="989">
        <f t="shared" si="4"/>
        <v>0</v>
      </c>
      <c r="I45" s="1023">
        <f t="shared" si="5"/>
        <v>0</v>
      </c>
      <c r="J45" s="989">
        <f t="shared" si="6"/>
        <v>0</v>
      </c>
      <c r="K45" s="989">
        <v>0</v>
      </c>
      <c r="L45" s="989">
        <f t="shared" si="7"/>
        <v>0</v>
      </c>
      <c r="M45" s="989">
        <f t="shared" si="8"/>
        <v>0</v>
      </c>
      <c r="N45" s="981">
        <f>'Table 5C1A-Madison Prep'!N45</f>
        <v>4324</v>
      </c>
      <c r="O45" s="983">
        <f t="shared" si="9"/>
        <v>0</v>
      </c>
      <c r="P45" s="1029">
        <f t="shared" si="10"/>
        <v>0</v>
      </c>
      <c r="Q45" s="983">
        <f t="shared" si="11"/>
        <v>0</v>
      </c>
      <c r="R45" s="983">
        <v>0</v>
      </c>
      <c r="S45" s="983">
        <f t="shared" si="12"/>
        <v>0</v>
      </c>
      <c r="T45" s="983">
        <f t="shared" si="13"/>
        <v>0</v>
      </c>
      <c r="U45" s="984">
        <f t="shared" si="14"/>
        <v>0</v>
      </c>
      <c r="V45" s="984">
        <f t="shared" si="14"/>
        <v>0</v>
      </c>
    </row>
    <row r="46" spans="1:22">
      <c r="A46" s="963">
        <v>40</v>
      </c>
      <c r="B46" s="964" t="s">
        <v>132</v>
      </c>
      <c r="C46" s="1082">
        <f>'2-1-13 SIS'!G46</f>
        <v>0</v>
      </c>
      <c r="D46" s="967">
        <f>'Table 3 Levels 1&amp;2'!AL47</f>
        <v>4928.4974462701202</v>
      </c>
      <c r="E46" s="1014">
        <f t="shared" si="2"/>
        <v>0</v>
      </c>
      <c r="F46" s="1014">
        <f>'Table 4 Level 3'!P45</f>
        <v>700.2700000000001</v>
      </c>
      <c r="G46" s="1014">
        <f t="shared" si="3"/>
        <v>0</v>
      </c>
      <c r="H46" s="990">
        <f t="shared" si="4"/>
        <v>0</v>
      </c>
      <c r="I46" s="1024">
        <f t="shared" si="5"/>
        <v>0</v>
      </c>
      <c r="J46" s="990">
        <f t="shared" si="6"/>
        <v>0</v>
      </c>
      <c r="K46" s="990">
        <v>0</v>
      </c>
      <c r="L46" s="990">
        <f t="shared" si="7"/>
        <v>0</v>
      </c>
      <c r="M46" s="990">
        <f t="shared" si="8"/>
        <v>0</v>
      </c>
      <c r="N46" s="986">
        <f>'Table 5C1A-Madison Prep'!N46</f>
        <v>3007</v>
      </c>
      <c r="O46" s="987">
        <f t="shared" si="9"/>
        <v>0</v>
      </c>
      <c r="P46" s="1030">
        <f t="shared" si="10"/>
        <v>0</v>
      </c>
      <c r="Q46" s="987">
        <f t="shared" si="11"/>
        <v>0</v>
      </c>
      <c r="R46" s="987">
        <v>0</v>
      </c>
      <c r="S46" s="987">
        <f t="shared" si="12"/>
        <v>0</v>
      </c>
      <c r="T46" s="987">
        <f t="shared" si="13"/>
        <v>0</v>
      </c>
      <c r="U46" s="988">
        <f t="shared" si="14"/>
        <v>0</v>
      </c>
      <c r="V46" s="988">
        <f t="shared" si="14"/>
        <v>0</v>
      </c>
    </row>
    <row r="47" spans="1:22">
      <c r="A47" s="953">
        <v>41</v>
      </c>
      <c r="B47" s="954" t="s">
        <v>133</v>
      </c>
      <c r="C47" s="1083">
        <f>'2-1-13 SIS'!G47</f>
        <v>0</v>
      </c>
      <c r="D47" s="968">
        <f>'Table 3 Levels 1&amp;2'!AL48</f>
        <v>1615.6013465627216</v>
      </c>
      <c r="E47" s="1015">
        <f t="shared" si="2"/>
        <v>0</v>
      </c>
      <c r="F47" s="1015">
        <f>'Table 4 Level 3'!P46</f>
        <v>886.22</v>
      </c>
      <c r="G47" s="1015">
        <f t="shared" si="3"/>
        <v>0</v>
      </c>
      <c r="H47" s="991">
        <f t="shared" si="4"/>
        <v>0</v>
      </c>
      <c r="I47" s="1025">
        <f t="shared" si="5"/>
        <v>0</v>
      </c>
      <c r="J47" s="991">
        <f t="shared" si="6"/>
        <v>0</v>
      </c>
      <c r="K47" s="991">
        <v>0</v>
      </c>
      <c r="L47" s="991">
        <f t="shared" si="7"/>
        <v>0</v>
      </c>
      <c r="M47" s="991">
        <f t="shared" si="8"/>
        <v>0</v>
      </c>
      <c r="N47" s="981">
        <f>'Table 5C1A-Madison Prep'!N47</f>
        <v>9087</v>
      </c>
      <c r="O47" s="958">
        <f t="shared" si="9"/>
        <v>0</v>
      </c>
      <c r="P47" s="1028">
        <f t="shared" si="10"/>
        <v>0</v>
      </c>
      <c r="Q47" s="958">
        <f t="shared" si="11"/>
        <v>0</v>
      </c>
      <c r="R47" s="958">
        <v>0</v>
      </c>
      <c r="S47" s="958">
        <f t="shared" si="12"/>
        <v>0</v>
      </c>
      <c r="T47" s="958">
        <f t="shared" si="13"/>
        <v>0</v>
      </c>
      <c r="U47" s="959">
        <f t="shared" si="14"/>
        <v>0</v>
      </c>
      <c r="V47" s="959">
        <f t="shared" si="14"/>
        <v>0</v>
      </c>
    </row>
    <row r="48" spans="1:22">
      <c r="A48" s="960">
        <v>42</v>
      </c>
      <c r="B48" s="961" t="s">
        <v>134</v>
      </c>
      <c r="C48" s="1081">
        <f>'2-1-13 SIS'!G48</f>
        <v>0</v>
      </c>
      <c r="D48" s="966">
        <f>'Table 3 Levels 1&amp;2'!AL49</f>
        <v>5087.4730460987803</v>
      </c>
      <c r="E48" s="1013">
        <f t="shared" si="2"/>
        <v>0</v>
      </c>
      <c r="F48" s="1013">
        <f>'Table 4 Level 3'!P47</f>
        <v>534.28</v>
      </c>
      <c r="G48" s="1013">
        <f t="shared" si="3"/>
        <v>0</v>
      </c>
      <c r="H48" s="989">
        <f t="shared" si="4"/>
        <v>0</v>
      </c>
      <c r="I48" s="1023">
        <f t="shared" si="5"/>
        <v>0</v>
      </c>
      <c r="J48" s="989">
        <f t="shared" si="6"/>
        <v>0</v>
      </c>
      <c r="K48" s="989">
        <v>0</v>
      </c>
      <c r="L48" s="989">
        <f t="shared" si="7"/>
        <v>0</v>
      </c>
      <c r="M48" s="989">
        <f t="shared" si="8"/>
        <v>0</v>
      </c>
      <c r="N48" s="981">
        <f>'Table 5C1A-Madison Prep'!N48</f>
        <v>2867</v>
      </c>
      <c r="O48" s="983">
        <f t="shared" si="9"/>
        <v>0</v>
      </c>
      <c r="P48" s="1029">
        <f t="shared" si="10"/>
        <v>0</v>
      </c>
      <c r="Q48" s="983">
        <f t="shared" si="11"/>
        <v>0</v>
      </c>
      <c r="R48" s="983">
        <v>0</v>
      </c>
      <c r="S48" s="983">
        <f t="shared" si="12"/>
        <v>0</v>
      </c>
      <c r="T48" s="983">
        <f t="shared" si="13"/>
        <v>0</v>
      </c>
      <c r="U48" s="984">
        <f t="shared" si="14"/>
        <v>0</v>
      </c>
      <c r="V48" s="984">
        <f t="shared" si="14"/>
        <v>0</v>
      </c>
    </row>
    <row r="49" spans="1:22">
      <c r="A49" s="960">
        <v>43</v>
      </c>
      <c r="B49" s="961" t="s">
        <v>135</v>
      </c>
      <c r="C49" s="1081">
        <f>'2-1-13 SIS'!G49</f>
        <v>0</v>
      </c>
      <c r="D49" s="966">
        <f>'Table 3 Levels 1&amp;2'!AL50</f>
        <v>4717.8414352725031</v>
      </c>
      <c r="E49" s="1013">
        <f t="shared" si="2"/>
        <v>0</v>
      </c>
      <c r="F49" s="1013">
        <f>'Table 4 Level 3'!P48</f>
        <v>574.6099999999999</v>
      </c>
      <c r="G49" s="1013">
        <f t="shared" si="3"/>
        <v>0</v>
      </c>
      <c r="H49" s="989">
        <f t="shared" si="4"/>
        <v>0</v>
      </c>
      <c r="I49" s="1023">
        <f t="shared" si="5"/>
        <v>0</v>
      </c>
      <c r="J49" s="989">
        <f t="shared" si="6"/>
        <v>0</v>
      </c>
      <c r="K49" s="989">
        <v>0</v>
      </c>
      <c r="L49" s="989">
        <f t="shared" si="7"/>
        <v>0</v>
      </c>
      <c r="M49" s="989">
        <f t="shared" si="8"/>
        <v>0</v>
      </c>
      <c r="N49" s="981">
        <f>'Table 5C1A-Madison Prep'!N49</f>
        <v>3587</v>
      </c>
      <c r="O49" s="983">
        <f t="shared" si="9"/>
        <v>0</v>
      </c>
      <c r="P49" s="1029">
        <f t="shared" si="10"/>
        <v>0</v>
      </c>
      <c r="Q49" s="983">
        <f t="shared" si="11"/>
        <v>0</v>
      </c>
      <c r="R49" s="983">
        <v>0</v>
      </c>
      <c r="S49" s="983">
        <f t="shared" si="12"/>
        <v>0</v>
      </c>
      <c r="T49" s="983">
        <f t="shared" si="13"/>
        <v>0</v>
      </c>
      <c r="U49" s="984">
        <f t="shared" si="14"/>
        <v>0</v>
      </c>
      <c r="V49" s="984">
        <f t="shared" si="14"/>
        <v>0</v>
      </c>
    </row>
    <row r="50" spans="1:22">
      <c r="A50" s="960">
        <v>44</v>
      </c>
      <c r="B50" s="961" t="s">
        <v>136</v>
      </c>
      <c r="C50" s="1081">
        <f>'2-1-13 SIS'!G50</f>
        <v>0</v>
      </c>
      <c r="D50" s="966">
        <f>'Table 3 Levels 1&amp;2'!AL51</f>
        <v>4696.6221228259064</v>
      </c>
      <c r="E50" s="1013">
        <f t="shared" si="2"/>
        <v>0</v>
      </c>
      <c r="F50" s="1013">
        <f>'Table 4 Level 3'!P49</f>
        <v>663.16000000000008</v>
      </c>
      <c r="G50" s="1013">
        <f t="shared" si="3"/>
        <v>0</v>
      </c>
      <c r="H50" s="989">
        <f t="shared" si="4"/>
        <v>0</v>
      </c>
      <c r="I50" s="1023">
        <f t="shared" si="5"/>
        <v>0</v>
      </c>
      <c r="J50" s="989">
        <f t="shared" si="6"/>
        <v>0</v>
      </c>
      <c r="K50" s="989">
        <v>0</v>
      </c>
      <c r="L50" s="989">
        <f t="shared" si="7"/>
        <v>0</v>
      </c>
      <c r="M50" s="989">
        <f t="shared" si="8"/>
        <v>0</v>
      </c>
      <c r="N50" s="981">
        <f>'Table 5C1A-Madison Prep'!N50</f>
        <v>4561</v>
      </c>
      <c r="O50" s="983">
        <f t="shared" si="9"/>
        <v>0</v>
      </c>
      <c r="P50" s="1029">
        <f t="shared" si="10"/>
        <v>0</v>
      </c>
      <c r="Q50" s="983">
        <f t="shared" si="11"/>
        <v>0</v>
      </c>
      <c r="R50" s="983">
        <v>0</v>
      </c>
      <c r="S50" s="983">
        <f t="shared" si="12"/>
        <v>0</v>
      </c>
      <c r="T50" s="983">
        <f t="shared" si="13"/>
        <v>0</v>
      </c>
      <c r="U50" s="984">
        <f t="shared" si="14"/>
        <v>0</v>
      </c>
      <c r="V50" s="984">
        <f t="shared" si="14"/>
        <v>0</v>
      </c>
    </row>
    <row r="51" spans="1:22">
      <c r="A51" s="963">
        <v>45</v>
      </c>
      <c r="B51" s="964" t="s">
        <v>137</v>
      </c>
      <c r="C51" s="1082">
        <f>'2-1-13 SIS'!G51</f>
        <v>0</v>
      </c>
      <c r="D51" s="967">
        <f>'Table 3 Levels 1&amp;2'!AL52</f>
        <v>2192.4914538932262</v>
      </c>
      <c r="E51" s="1014">
        <f t="shared" si="2"/>
        <v>0</v>
      </c>
      <c r="F51" s="1014">
        <f>'Table 4 Level 3'!P50</f>
        <v>753.96000000000015</v>
      </c>
      <c r="G51" s="1014">
        <f t="shared" si="3"/>
        <v>0</v>
      </c>
      <c r="H51" s="990">
        <f t="shared" si="4"/>
        <v>0</v>
      </c>
      <c r="I51" s="1024">
        <f t="shared" si="5"/>
        <v>0</v>
      </c>
      <c r="J51" s="990">
        <f t="shared" si="6"/>
        <v>0</v>
      </c>
      <c r="K51" s="990">
        <v>0</v>
      </c>
      <c r="L51" s="990">
        <f t="shared" si="7"/>
        <v>0</v>
      </c>
      <c r="M51" s="990">
        <f t="shared" si="8"/>
        <v>0</v>
      </c>
      <c r="N51" s="986">
        <f>'Table 5C1A-Madison Prep'!N51</f>
        <v>11287</v>
      </c>
      <c r="O51" s="987">
        <f t="shared" si="9"/>
        <v>0</v>
      </c>
      <c r="P51" s="1030">
        <f t="shared" si="10"/>
        <v>0</v>
      </c>
      <c r="Q51" s="987">
        <f t="shared" si="11"/>
        <v>0</v>
      </c>
      <c r="R51" s="987">
        <v>0</v>
      </c>
      <c r="S51" s="987">
        <f t="shared" si="12"/>
        <v>0</v>
      </c>
      <c r="T51" s="987">
        <f t="shared" si="13"/>
        <v>0</v>
      </c>
      <c r="U51" s="988">
        <f t="shared" si="14"/>
        <v>0</v>
      </c>
      <c r="V51" s="988">
        <f t="shared" si="14"/>
        <v>0</v>
      </c>
    </row>
    <row r="52" spans="1:22">
      <c r="A52" s="953">
        <v>46</v>
      </c>
      <c r="B52" s="954" t="s">
        <v>138</v>
      </c>
      <c r="C52" s="1083">
        <f>'2-1-13 SIS'!G52</f>
        <v>0</v>
      </c>
      <c r="D52" s="968">
        <f>'Table 3 Levels 1&amp;2'!AL53</f>
        <v>5644.6599115241634</v>
      </c>
      <c r="E52" s="1015">
        <f t="shared" si="2"/>
        <v>0</v>
      </c>
      <c r="F52" s="1015">
        <f>'Table 4 Level 3'!P51</f>
        <v>728.06</v>
      </c>
      <c r="G52" s="1015">
        <f t="shared" si="3"/>
        <v>0</v>
      </c>
      <c r="H52" s="991">
        <f t="shared" si="4"/>
        <v>0</v>
      </c>
      <c r="I52" s="1025">
        <f t="shared" si="5"/>
        <v>0</v>
      </c>
      <c r="J52" s="991">
        <f t="shared" si="6"/>
        <v>0</v>
      </c>
      <c r="K52" s="991">
        <v>0</v>
      </c>
      <c r="L52" s="991">
        <f t="shared" si="7"/>
        <v>0</v>
      </c>
      <c r="M52" s="991">
        <f t="shared" si="8"/>
        <v>0</v>
      </c>
      <c r="N52" s="981">
        <f>'Table 5C1A-Madison Prep'!N52</f>
        <v>2150</v>
      </c>
      <c r="O52" s="958">
        <f t="shared" si="9"/>
        <v>0</v>
      </c>
      <c r="P52" s="1028">
        <f t="shared" si="10"/>
        <v>0</v>
      </c>
      <c r="Q52" s="958">
        <f t="shared" si="11"/>
        <v>0</v>
      </c>
      <c r="R52" s="958">
        <v>0</v>
      </c>
      <c r="S52" s="958">
        <f t="shared" si="12"/>
        <v>0</v>
      </c>
      <c r="T52" s="958">
        <f t="shared" si="13"/>
        <v>0</v>
      </c>
      <c r="U52" s="959">
        <f t="shared" si="14"/>
        <v>0</v>
      </c>
      <c r="V52" s="959">
        <f t="shared" si="14"/>
        <v>0</v>
      </c>
    </row>
    <row r="53" spans="1:22">
      <c r="A53" s="960">
        <v>47</v>
      </c>
      <c r="B53" s="961" t="s">
        <v>139</v>
      </c>
      <c r="C53" s="1081">
        <f>'2-1-13 SIS'!G53</f>
        <v>0</v>
      </c>
      <c r="D53" s="966">
        <f>'Table 3 Levels 1&amp;2'!AL54</f>
        <v>2731.2444076222037</v>
      </c>
      <c r="E53" s="1013">
        <f t="shared" si="2"/>
        <v>0</v>
      </c>
      <c r="F53" s="1013">
        <f>'Table 4 Level 3'!P52</f>
        <v>910.76</v>
      </c>
      <c r="G53" s="1013">
        <f t="shared" si="3"/>
        <v>0</v>
      </c>
      <c r="H53" s="989">
        <f t="shared" si="4"/>
        <v>0</v>
      </c>
      <c r="I53" s="1023">
        <f t="shared" si="5"/>
        <v>0</v>
      </c>
      <c r="J53" s="989">
        <f t="shared" si="6"/>
        <v>0</v>
      </c>
      <c r="K53" s="989">
        <v>0</v>
      </c>
      <c r="L53" s="989">
        <f t="shared" si="7"/>
        <v>0</v>
      </c>
      <c r="M53" s="989">
        <f t="shared" si="8"/>
        <v>0</v>
      </c>
      <c r="N53" s="981">
        <f>'Table 5C1A-Madison Prep'!N53</f>
        <v>13280</v>
      </c>
      <c r="O53" s="983">
        <f t="shared" si="9"/>
        <v>0</v>
      </c>
      <c r="P53" s="1029">
        <f t="shared" si="10"/>
        <v>0</v>
      </c>
      <c r="Q53" s="983">
        <f t="shared" si="11"/>
        <v>0</v>
      </c>
      <c r="R53" s="983">
        <v>0</v>
      </c>
      <c r="S53" s="983">
        <f t="shared" si="12"/>
        <v>0</v>
      </c>
      <c r="T53" s="983">
        <f t="shared" si="13"/>
        <v>0</v>
      </c>
      <c r="U53" s="984">
        <f t="shared" si="14"/>
        <v>0</v>
      </c>
      <c r="V53" s="984">
        <f t="shared" si="14"/>
        <v>0</v>
      </c>
    </row>
    <row r="54" spans="1:22">
      <c r="A54" s="960">
        <v>48</v>
      </c>
      <c r="B54" s="961" t="s">
        <v>197</v>
      </c>
      <c r="C54" s="1081">
        <f>'2-1-13 SIS'!G54</f>
        <v>0</v>
      </c>
      <c r="D54" s="966">
        <f>'Table 3 Levels 1&amp;2'!AL55</f>
        <v>4272.723323083942</v>
      </c>
      <c r="E54" s="1013">
        <f t="shared" si="2"/>
        <v>0</v>
      </c>
      <c r="F54" s="1013">
        <f>'Table 4 Level 3'!P53</f>
        <v>871.07</v>
      </c>
      <c r="G54" s="1013">
        <f t="shared" si="3"/>
        <v>0</v>
      </c>
      <c r="H54" s="989">
        <f t="shared" si="4"/>
        <v>0</v>
      </c>
      <c r="I54" s="1023">
        <f t="shared" si="5"/>
        <v>0</v>
      </c>
      <c r="J54" s="989">
        <f t="shared" si="6"/>
        <v>0</v>
      </c>
      <c r="K54" s="989">
        <v>0</v>
      </c>
      <c r="L54" s="989">
        <f t="shared" si="7"/>
        <v>0</v>
      </c>
      <c r="M54" s="989">
        <f t="shared" si="8"/>
        <v>0</v>
      </c>
      <c r="N54" s="981">
        <f>'Table 5C1A-Madison Prep'!N54</f>
        <v>6453</v>
      </c>
      <c r="O54" s="983">
        <f t="shared" si="9"/>
        <v>0</v>
      </c>
      <c r="P54" s="1029">
        <f t="shared" si="10"/>
        <v>0</v>
      </c>
      <c r="Q54" s="983">
        <f t="shared" si="11"/>
        <v>0</v>
      </c>
      <c r="R54" s="983">
        <v>0</v>
      </c>
      <c r="S54" s="983">
        <f t="shared" si="12"/>
        <v>0</v>
      </c>
      <c r="T54" s="983">
        <f t="shared" si="13"/>
        <v>0</v>
      </c>
      <c r="U54" s="984">
        <f t="shared" si="14"/>
        <v>0</v>
      </c>
      <c r="V54" s="984">
        <f t="shared" si="14"/>
        <v>0</v>
      </c>
    </row>
    <row r="55" spans="1:22">
      <c r="A55" s="960">
        <v>49</v>
      </c>
      <c r="B55" s="961" t="s">
        <v>140</v>
      </c>
      <c r="C55" s="1081">
        <f>'2-1-13 SIS'!G55</f>
        <v>0</v>
      </c>
      <c r="D55" s="966">
        <f>'Table 3 Levels 1&amp;2'!AL56</f>
        <v>4836.7092570332552</v>
      </c>
      <c r="E55" s="1013">
        <f t="shared" si="2"/>
        <v>0</v>
      </c>
      <c r="F55" s="1013">
        <f>'Table 4 Level 3'!P54</f>
        <v>574.43999999999994</v>
      </c>
      <c r="G55" s="1013">
        <f t="shared" si="3"/>
        <v>0</v>
      </c>
      <c r="H55" s="989">
        <f t="shared" si="4"/>
        <v>0</v>
      </c>
      <c r="I55" s="1023">
        <f t="shared" si="5"/>
        <v>0</v>
      </c>
      <c r="J55" s="989">
        <f t="shared" si="6"/>
        <v>0</v>
      </c>
      <c r="K55" s="989">
        <v>0</v>
      </c>
      <c r="L55" s="989">
        <f t="shared" si="7"/>
        <v>0</v>
      </c>
      <c r="M55" s="989">
        <f t="shared" si="8"/>
        <v>0</v>
      </c>
      <c r="N55" s="981">
        <f>'Table 5C1A-Madison Prep'!N55</f>
        <v>2287</v>
      </c>
      <c r="O55" s="983">
        <f t="shared" si="9"/>
        <v>0</v>
      </c>
      <c r="P55" s="1029">
        <f t="shared" si="10"/>
        <v>0</v>
      </c>
      <c r="Q55" s="983">
        <f t="shared" si="11"/>
        <v>0</v>
      </c>
      <c r="R55" s="983">
        <v>0</v>
      </c>
      <c r="S55" s="983">
        <f t="shared" si="12"/>
        <v>0</v>
      </c>
      <c r="T55" s="983">
        <f t="shared" si="13"/>
        <v>0</v>
      </c>
      <c r="U55" s="984">
        <f t="shared" si="14"/>
        <v>0</v>
      </c>
      <c r="V55" s="984">
        <f t="shared" si="14"/>
        <v>0</v>
      </c>
    </row>
    <row r="56" spans="1:22">
      <c r="A56" s="963">
        <v>50</v>
      </c>
      <c r="B56" s="964" t="s">
        <v>141</v>
      </c>
      <c r="C56" s="1082">
        <f>'2-1-13 SIS'!G56</f>
        <v>0</v>
      </c>
      <c r="D56" s="967">
        <f>'Table 3 Levels 1&amp;2'!AL57</f>
        <v>5032.6862895017111</v>
      </c>
      <c r="E56" s="1014">
        <f t="shared" si="2"/>
        <v>0</v>
      </c>
      <c r="F56" s="1014">
        <f>'Table 4 Level 3'!P55</f>
        <v>634.46</v>
      </c>
      <c r="G56" s="1014">
        <f t="shared" si="3"/>
        <v>0</v>
      </c>
      <c r="H56" s="990">
        <f t="shared" si="4"/>
        <v>0</v>
      </c>
      <c r="I56" s="1024">
        <f t="shared" si="5"/>
        <v>0</v>
      </c>
      <c r="J56" s="990">
        <f t="shared" si="6"/>
        <v>0</v>
      </c>
      <c r="K56" s="990">
        <v>0</v>
      </c>
      <c r="L56" s="990">
        <f t="shared" si="7"/>
        <v>0</v>
      </c>
      <c r="M56" s="990">
        <f t="shared" si="8"/>
        <v>0</v>
      </c>
      <c r="N56" s="986">
        <f>'Table 5C1A-Madison Prep'!N56</f>
        <v>2801</v>
      </c>
      <c r="O56" s="987">
        <f t="shared" si="9"/>
        <v>0</v>
      </c>
      <c r="P56" s="1030">
        <f t="shared" si="10"/>
        <v>0</v>
      </c>
      <c r="Q56" s="987">
        <f t="shared" si="11"/>
        <v>0</v>
      </c>
      <c r="R56" s="987">
        <v>0</v>
      </c>
      <c r="S56" s="987">
        <f t="shared" si="12"/>
        <v>0</v>
      </c>
      <c r="T56" s="987">
        <f t="shared" si="13"/>
        <v>0</v>
      </c>
      <c r="U56" s="988">
        <f t="shared" si="14"/>
        <v>0</v>
      </c>
      <c r="V56" s="988">
        <f t="shared" si="14"/>
        <v>0</v>
      </c>
    </row>
    <row r="57" spans="1:22">
      <c r="A57" s="953">
        <v>51</v>
      </c>
      <c r="B57" s="954" t="s">
        <v>142</v>
      </c>
      <c r="C57" s="1083">
        <f>'2-1-13 SIS'!G57</f>
        <v>0</v>
      </c>
      <c r="D57" s="968">
        <f>'Table 3 Levels 1&amp;2'!AL58</f>
        <v>4246.0339872793602</v>
      </c>
      <c r="E57" s="1015">
        <f t="shared" si="2"/>
        <v>0</v>
      </c>
      <c r="F57" s="1015">
        <f>'Table 4 Level 3'!P56</f>
        <v>706.66</v>
      </c>
      <c r="G57" s="1015">
        <f t="shared" si="3"/>
        <v>0</v>
      </c>
      <c r="H57" s="991">
        <f t="shared" si="4"/>
        <v>0</v>
      </c>
      <c r="I57" s="1025">
        <f t="shared" si="5"/>
        <v>0</v>
      </c>
      <c r="J57" s="991">
        <f t="shared" si="6"/>
        <v>0</v>
      </c>
      <c r="K57" s="991">
        <v>0</v>
      </c>
      <c r="L57" s="991">
        <f t="shared" si="7"/>
        <v>0</v>
      </c>
      <c r="M57" s="991">
        <f t="shared" si="8"/>
        <v>0</v>
      </c>
      <c r="N57" s="981">
        <f>'Table 5C1A-Madison Prep'!N57</f>
        <v>4215</v>
      </c>
      <c r="O57" s="958">
        <f t="shared" si="9"/>
        <v>0</v>
      </c>
      <c r="P57" s="1028">
        <f t="shared" si="10"/>
        <v>0</v>
      </c>
      <c r="Q57" s="958">
        <f t="shared" si="11"/>
        <v>0</v>
      </c>
      <c r="R57" s="958">
        <v>0</v>
      </c>
      <c r="S57" s="958">
        <f t="shared" si="12"/>
        <v>0</v>
      </c>
      <c r="T57" s="958">
        <f t="shared" si="13"/>
        <v>0</v>
      </c>
      <c r="U57" s="959">
        <f t="shared" si="14"/>
        <v>0</v>
      </c>
      <c r="V57" s="959">
        <f t="shared" si="14"/>
        <v>0</v>
      </c>
    </row>
    <row r="58" spans="1:22">
      <c r="A58" s="960">
        <v>52</v>
      </c>
      <c r="B58" s="961" t="s">
        <v>143</v>
      </c>
      <c r="C58" s="1081">
        <f>'2-1-13 SIS'!G58</f>
        <v>0</v>
      </c>
      <c r="D58" s="966">
        <f>'Table 3 Levels 1&amp;2'!AL59</f>
        <v>5013.4438050113249</v>
      </c>
      <c r="E58" s="1013">
        <f t="shared" si="2"/>
        <v>0</v>
      </c>
      <c r="F58" s="1013">
        <f>'Table 4 Level 3'!P57</f>
        <v>658.37</v>
      </c>
      <c r="G58" s="1013">
        <f t="shared" si="3"/>
        <v>0</v>
      </c>
      <c r="H58" s="989">
        <f t="shared" si="4"/>
        <v>0</v>
      </c>
      <c r="I58" s="1023">
        <f t="shared" si="5"/>
        <v>0</v>
      </c>
      <c r="J58" s="989">
        <f t="shared" si="6"/>
        <v>0</v>
      </c>
      <c r="K58" s="989">
        <v>0</v>
      </c>
      <c r="L58" s="989">
        <f t="shared" si="7"/>
        <v>0</v>
      </c>
      <c r="M58" s="989">
        <f t="shared" si="8"/>
        <v>0</v>
      </c>
      <c r="N58" s="981">
        <f>'Table 5C1A-Madison Prep'!N58</f>
        <v>4889</v>
      </c>
      <c r="O58" s="983">
        <f t="shared" si="9"/>
        <v>0</v>
      </c>
      <c r="P58" s="1029">
        <f t="shared" si="10"/>
        <v>0</v>
      </c>
      <c r="Q58" s="983">
        <f t="shared" si="11"/>
        <v>0</v>
      </c>
      <c r="R58" s="983">
        <v>0</v>
      </c>
      <c r="S58" s="983">
        <f t="shared" si="12"/>
        <v>0</v>
      </c>
      <c r="T58" s="983">
        <f t="shared" si="13"/>
        <v>0</v>
      </c>
      <c r="U58" s="984">
        <f t="shared" si="14"/>
        <v>0</v>
      </c>
      <c r="V58" s="984">
        <f t="shared" si="14"/>
        <v>0</v>
      </c>
    </row>
    <row r="59" spans="1:22">
      <c r="A59" s="960">
        <v>53</v>
      </c>
      <c r="B59" s="961" t="s">
        <v>144</v>
      </c>
      <c r="C59" s="1081">
        <f>'2-1-13 SIS'!G59</f>
        <v>0</v>
      </c>
      <c r="D59" s="966">
        <f>'Table 3 Levels 1&amp;2'!AL60</f>
        <v>4775.5877635581091</v>
      </c>
      <c r="E59" s="1013">
        <f t="shared" si="2"/>
        <v>0</v>
      </c>
      <c r="F59" s="1013">
        <f>'Table 4 Level 3'!P58</f>
        <v>689.74</v>
      </c>
      <c r="G59" s="1013">
        <f t="shared" si="3"/>
        <v>0</v>
      </c>
      <c r="H59" s="989">
        <f t="shared" si="4"/>
        <v>0</v>
      </c>
      <c r="I59" s="1023">
        <f t="shared" si="5"/>
        <v>0</v>
      </c>
      <c r="J59" s="989">
        <f t="shared" si="6"/>
        <v>0</v>
      </c>
      <c r="K59" s="989">
        <v>0</v>
      </c>
      <c r="L59" s="989">
        <f t="shared" si="7"/>
        <v>0</v>
      </c>
      <c r="M59" s="989">
        <f t="shared" si="8"/>
        <v>0</v>
      </c>
      <c r="N59" s="981">
        <f>'Table 5C1A-Madison Prep'!N59</f>
        <v>2119</v>
      </c>
      <c r="O59" s="983">
        <f t="shared" si="9"/>
        <v>0</v>
      </c>
      <c r="P59" s="1029">
        <f t="shared" si="10"/>
        <v>0</v>
      </c>
      <c r="Q59" s="983">
        <f t="shared" si="11"/>
        <v>0</v>
      </c>
      <c r="R59" s="983">
        <v>0</v>
      </c>
      <c r="S59" s="983">
        <f t="shared" si="12"/>
        <v>0</v>
      </c>
      <c r="T59" s="983">
        <f t="shared" si="13"/>
        <v>0</v>
      </c>
      <c r="U59" s="984">
        <f t="shared" si="14"/>
        <v>0</v>
      </c>
      <c r="V59" s="984">
        <f t="shared" si="14"/>
        <v>0</v>
      </c>
    </row>
    <row r="60" spans="1:22">
      <c r="A60" s="960">
        <v>54</v>
      </c>
      <c r="B60" s="961" t="s">
        <v>145</v>
      </c>
      <c r="C60" s="1081">
        <f>'2-1-13 SIS'!G60</f>
        <v>0</v>
      </c>
      <c r="D60" s="966">
        <f>'Table 3 Levels 1&amp;2'!AL61</f>
        <v>5951.8009386275662</v>
      </c>
      <c r="E60" s="1013">
        <f t="shared" si="2"/>
        <v>0</v>
      </c>
      <c r="F60" s="1013">
        <f>'Table 4 Level 3'!P59</f>
        <v>951.45</v>
      </c>
      <c r="G60" s="1013">
        <f t="shared" si="3"/>
        <v>0</v>
      </c>
      <c r="H60" s="989">
        <f t="shared" si="4"/>
        <v>0</v>
      </c>
      <c r="I60" s="1023">
        <f t="shared" si="5"/>
        <v>0</v>
      </c>
      <c r="J60" s="989">
        <f t="shared" si="6"/>
        <v>0</v>
      </c>
      <c r="K60" s="989">
        <v>0</v>
      </c>
      <c r="L60" s="989">
        <f t="shared" si="7"/>
        <v>0</v>
      </c>
      <c r="M60" s="989">
        <f t="shared" si="8"/>
        <v>0</v>
      </c>
      <c r="N60" s="981">
        <f>'Table 5C1A-Madison Prep'!N60</f>
        <v>3690</v>
      </c>
      <c r="O60" s="983">
        <f t="shared" si="9"/>
        <v>0</v>
      </c>
      <c r="P60" s="1029">
        <f t="shared" si="10"/>
        <v>0</v>
      </c>
      <c r="Q60" s="983">
        <f t="shared" si="11"/>
        <v>0</v>
      </c>
      <c r="R60" s="983">
        <v>0</v>
      </c>
      <c r="S60" s="983">
        <f t="shared" si="12"/>
        <v>0</v>
      </c>
      <c r="T60" s="983">
        <f t="shared" si="13"/>
        <v>0</v>
      </c>
      <c r="U60" s="984">
        <f t="shared" si="14"/>
        <v>0</v>
      </c>
      <c r="V60" s="984">
        <f t="shared" si="14"/>
        <v>0</v>
      </c>
    </row>
    <row r="61" spans="1:22">
      <c r="A61" s="963">
        <v>55</v>
      </c>
      <c r="B61" s="964" t="s">
        <v>146</v>
      </c>
      <c r="C61" s="1082">
        <f>'2-1-13 SIS'!G61</f>
        <v>0</v>
      </c>
      <c r="D61" s="967">
        <f>'Table 3 Levels 1&amp;2'!AL62</f>
        <v>4171.0434735233157</v>
      </c>
      <c r="E61" s="1014">
        <f t="shared" si="2"/>
        <v>0</v>
      </c>
      <c r="F61" s="1014">
        <f>'Table 4 Level 3'!P60</f>
        <v>795.14</v>
      </c>
      <c r="G61" s="1014">
        <f t="shared" si="3"/>
        <v>0</v>
      </c>
      <c r="H61" s="990">
        <f t="shared" si="4"/>
        <v>0</v>
      </c>
      <c r="I61" s="1024">
        <f t="shared" si="5"/>
        <v>0</v>
      </c>
      <c r="J61" s="990">
        <f t="shared" si="6"/>
        <v>0</v>
      </c>
      <c r="K61" s="990">
        <v>0</v>
      </c>
      <c r="L61" s="990">
        <f t="shared" si="7"/>
        <v>0</v>
      </c>
      <c r="M61" s="990">
        <f t="shared" si="8"/>
        <v>0</v>
      </c>
      <c r="N61" s="986">
        <f>'Table 5C1A-Madison Prep'!N61</f>
        <v>3157</v>
      </c>
      <c r="O61" s="987">
        <f t="shared" si="9"/>
        <v>0</v>
      </c>
      <c r="P61" s="1030">
        <f t="shared" si="10"/>
        <v>0</v>
      </c>
      <c r="Q61" s="987">
        <f t="shared" si="11"/>
        <v>0</v>
      </c>
      <c r="R61" s="987">
        <v>0</v>
      </c>
      <c r="S61" s="987">
        <f t="shared" si="12"/>
        <v>0</v>
      </c>
      <c r="T61" s="987">
        <f t="shared" si="13"/>
        <v>0</v>
      </c>
      <c r="U61" s="988">
        <f t="shared" si="14"/>
        <v>0</v>
      </c>
      <c r="V61" s="988">
        <f t="shared" si="14"/>
        <v>0</v>
      </c>
    </row>
    <row r="62" spans="1:22">
      <c r="A62" s="953">
        <v>56</v>
      </c>
      <c r="B62" s="954" t="s">
        <v>147</v>
      </c>
      <c r="C62" s="1083">
        <f>'2-1-13 SIS'!G62</f>
        <v>0</v>
      </c>
      <c r="D62" s="968">
        <f>'Table 3 Levels 1&amp;2'!AL63</f>
        <v>4968.593189672727</v>
      </c>
      <c r="E62" s="1015">
        <f t="shared" si="2"/>
        <v>0</v>
      </c>
      <c r="F62" s="1015">
        <f>'Table 4 Level 3'!P61</f>
        <v>614.66000000000008</v>
      </c>
      <c r="G62" s="1015">
        <f t="shared" si="3"/>
        <v>0</v>
      </c>
      <c r="H62" s="991">
        <f t="shared" si="4"/>
        <v>0</v>
      </c>
      <c r="I62" s="1025">
        <f t="shared" si="5"/>
        <v>0</v>
      </c>
      <c r="J62" s="991">
        <f t="shared" si="6"/>
        <v>0</v>
      </c>
      <c r="K62" s="991">
        <v>0</v>
      </c>
      <c r="L62" s="991">
        <f t="shared" si="7"/>
        <v>0</v>
      </c>
      <c r="M62" s="991">
        <f t="shared" si="8"/>
        <v>0</v>
      </c>
      <c r="N62" s="981">
        <f>'Table 5C1A-Madison Prep'!N62</f>
        <v>2779</v>
      </c>
      <c r="O62" s="958">
        <f t="shared" si="9"/>
        <v>0</v>
      </c>
      <c r="P62" s="1028">
        <f t="shared" si="10"/>
        <v>0</v>
      </c>
      <c r="Q62" s="958">
        <f t="shared" si="11"/>
        <v>0</v>
      </c>
      <c r="R62" s="958">
        <v>0</v>
      </c>
      <c r="S62" s="958">
        <f t="shared" si="12"/>
        <v>0</v>
      </c>
      <c r="T62" s="958">
        <f t="shared" si="13"/>
        <v>0</v>
      </c>
      <c r="U62" s="959">
        <f t="shared" si="14"/>
        <v>0</v>
      </c>
      <c r="V62" s="959">
        <f t="shared" si="14"/>
        <v>0</v>
      </c>
    </row>
    <row r="63" spans="1:22">
      <c r="A63" s="960">
        <v>57</v>
      </c>
      <c r="B63" s="961" t="s">
        <v>148</v>
      </c>
      <c r="C63" s="1081">
        <f>'2-1-13 SIS'!G63</f>
        <v>0</v>
      </c>
      <c r="D63" s="966">
        <f>'Table 3 Levels 1&amp;2'!AL64</f>
        <v>4485.7073020218859</v>
      </c>
      <c r="E63" s="1013">
        <f t="shared" si="2"/>
        <v>0</v>
      </c>
      <c r="F63" s="1013">
        <f>'Table 4 Level 3'!P62</f>
        <v>764.51</v>
      </c>
      <c r="G63" s="1013">
        <f t="shared" si="3"/>
        <v>0</v>
      </c>
      <c r="H63" s="989">
        <f t="shared" si="4"/>
        <v>0</v>
      </c>
      <c r="I63" s="1023">
        <f t="shared" si="5"/>
        <v>0</v>
      </c>
      <c r="J63" s="989">
        <f t="shared" si="6"/>
        <v>0</v>
      </c>
      <c r="K63" s="989">
        <v>0</v>
      </c>
      <c r="L63" s="989">
        <f t="shared" si="7"/>
        <v>0</v>
      </c>
      <c r="M63" s="989">
        <f t="shared" si="8"/>
        <v>0</v>
      </c>
      <c r="N63" s="981">
        <f>'Table 5C1A-Madison Prep'!N63</f>
        <v>3107</v>
      </c>
      <c r="O63" s="983">
        <f t="shared" si="9"/>
        <v>0</v>
      </c>
      <c r="P63" s="1029">
        <f t="shared" si="10"/>
        <v>0</v>
      </c>
      <c r="Q63" s="983">
        <f t="shared" si="11"/>
        <v>0</v>
      </c>
      <c r="R63" s="983">
        <v>0</v>
      </c>
      <c r="S63" s="983">
        <f t="shared" si="12"/>
        <v>0</v>
      </c>
      <c r="T63" s="983">
        <f t="shared" si="13"/>
        <v>0</v>
      </c>
      <c r="U63" s="984">
        <f t="shared" si="14"/>
        <v>0</v>
      </c>
      <c r="V63" s="984">
        <f t="shared" si="14"/>
        <v>0</v>
      </c>
    </row>
    <row r="64" spans="1:22">
      <c r="A64" s="960">
        <v>58</v>
      </c>
      <c r="B64" s="961" t="s">
        <v>149</v>
      </c>
      <c r="C64" s="1081">
        <f>'2-1-13 SIS'!G64</f>
        <v>0</v>
      </c>
      <c r="D64" s="966">
        <f>'Table 3 Levels 1&amp;2'!AL65</f>
        <v>5457.8662803476354</v>
      </c>
      <c r="E64" s="1013">
        <f t="shared" si="2"/>
        <v>0</v>
      </c>
      <c r="F64" s="1013">
        <f>'Table 4 Level 3'!P63</f>
        <v>697.04</v>
      </c>
      <c r="G64" s="1013">
        <f t="shared" si="3"/>
        <v>0</v>
      </c>
      <c r="H64" s="989">
        <f t="shared" si="4"/>
        <v>0</v>
      </c>
      <c r="I64" s="1023">
        <f t="shared" si="5"/>
        <v>0</v>
      </c>
      <c r="J64" s="989">
        <f t="shared" si="6"/>
        <v>0</v>
      </c>
      <c r="K64" s="989">
        <v>0</v>
      </c>
      <c r="L64" s="989">
        <f t="shared" si="7"/>
        <v>0</v>
      </c>
      <c r="M64" s="989">
        <f t="shared" si="8"/>
        <v>0</v>
      </c>
      <c r="N64" s="981">
        <f>'Table 5C1A-Madison Prep'!N64</f>
        <v>2105</v>
      </c>
      <c r="O64" s="983">
        <f t="shared" si="9"/>
        <v>0</v>
      </c>
      <c r="P64" s="1029">
        <f t="shared" si="10"/>
        <v>0</v>
      </c>
      <c r="Q64" s="983">
        <f t="shared" si="11"/>
        <v>0</v>
      </c>
      <c r="R64" s="983">
        <v>0</v>
      </c>
      <c r="S64" s="983">
        <f t="shared" si="12"/>
        <v>0</v>
      </c>
      <c r="T64" s="983">
        <f t="shared" si="13"/>
        <v>0</v>
      </c>
      <c r="U64" s="984">
        <f t="shared" si="14"/>
        <v>0</v>
      </c>
      <c r="V64" s="984">
        <f t="shared" si="14"/>
        <v>0</v>
      </c>
    </row>
    <row r="65" spans="1:22">
      <c r="A65" s="960">
        <v>59</v>
      </c>
      <c r="B65" s="961" t="s">
        <v>150</v>
      </c>
      <c r="C65" s="1081">
        <f>'2-1-13 SIS'!G65</f>
        <v>0</v>
      </c>
      <c r="D65" s="966">
        <f>'Table 3 Levels 1&amp;2'!AL66</f>
        <v>6274.2786338006481</v>
      </c>
      <c r="E65" s="1013">
        <f t="shared" si="2"/>
        <v>0</v>
      </c>
      <c r="F65" s="1013">
        <f>'Table 4 Level 3'!P64</f>
        <v>689.52</v>
      </c>
      <c r="G65" s="1013">
        <f t="shared" si="3"/>
        <v>0</v>
      </c>
      <c r="H65" s="989">
        <f t="shared" si="4"/>
        <v>0</v>
      </c>
      <c r="I65" s="1023">
        <f t="shared" si="5"/>
        <v>0</v>
      </c>
      <c r="J65" s="989">
        <f t="shared" si="6"/>
        <v>0</v>
      </c>
      <c r="K65" s="989">
        <v>0</v>
      </c>
      <c r="L65" s="989">
        <f t="shared" si="7"/>
        <v>0</v>
      </c>
      <c r="M65" s="989">
        <f t="shared" si="8"/>
        <v>0</v>
      </c>
      <c r="N65" s="981">
        <f>'Table 5C1A-Madison Prep'!N65</f>
        <v>1510</v>
      </c>
      <c r="O65" s="983">
        <f t="shared" si="9"/>
        <v>0</v>
      </c>
      <c r="P65" s="1029">
        <f t="shared" si="10"/>
        <v>0</v>
      </c>
      <c r="Q65" s="983">
        <f t="shared" si="11"/>
        <v>0</v>
      </c>
      <c r="R65" s="983">
        <v>0</v>
      </c>
      <c r="S65" s="983">
        <f t="shared" si="12"/>
        <v>0</v>
      </c>
      <c r="T65" s="983">
        <f t="shared" si="13"/>
        <v>0</v>
      </c>
      <c r="U65" s="984">
        <f t="shared" si="14"/>
        <v>0</v>
      </c>
      <c r="V65" s="984">
        <f t="shared" si="14"/>
        <v>0</v>
      </c>
    </row>
    <row r="66" spans="1:22">
      <c r="A66" s="963">
        <v>60</v>
      </c>
      <c r="B66" s="964" t="s">
        <v>151</v>
      </c>
      <c r="C66" s="1082">
        <f>'2-1-13 SIS'!G66</f>
        <v>0</v>
      </c>
      <c r="D66" s="967">
        <f>'Table 3 Levels 1&amp;2'!AL67</f>
        <v>4940.9166775610411</v>
      </c>
      <c r="E66" s="1014">
        <f t="shared" si="2"/>
        <v>0</v>
      </c>
      <c r="F66" s="1014">
        <f>'Table 4 Level 3'!P65</f>
        <v>594.04</v>
      </c>
      <c r="G66" s="1014">
        <f t="shared" si="3"/>
        <v>0</v>
      </c>
      <c r="H66" s="990">
        <f t="shared" si="4"/>
        <v>0</v>
      </c>
      <c r="I66" s="1024">
        <f t="shared" si="5"/>
        <v>0</v>
      </c>
      <c r="J66" s="990">
        <f t="shared" si="6"/>
        <v>0</v>
      </c>
      <c r="K66" s="990">
        <v>0</v>
      </c>
      <c r="L66" s="990">
        <f t="shared" si="7"/>
        <v>0</v>
      </c>
      <c r="M66" s="990">
        <f t="shared" si="8"/>
        <v>0</v>
      </c>
      <c r="N66" s="986">
        <f>'Table 5C1A-Madison Prep'!N66</f>
        <v>3793</v>
      </c>
      <c r="O66" s="987">
        <f t="shared" si="9"/>
        <v>0</v>
      </c>
      <c r="P66" s="1030">
        <f t="shared" si="10"/>
        <v>0</v>
      </c>
      <c r="Q66" s="987">
        <f t="shared" si="11"/>
        <v>0</v>
      </c>
      <c r="R66" s="987">
        <v>0</v>
      </c>
      <c r="S66" s="987">
        <f t="shared" si="12"/>
        <v>0</v>
      </c>
      <c r="T66" s="987">
        <f t="shared" si="13"/>
        <v>0</v>
      </c>
      <c r="U66" s="988">
        <f t="shared" si="14"/>
        <v>0</v>
      </c>
      <c r="V66" s="988">
        <f t="shared" si="14"/>
        <v>0</v>
      </c>
    </row>
    <row r="67" spans="1:22">
      <c r="A67" s="953">
        <v>61</v>
      </c>
      <c r="B67" s="954" t="s">
        <v>152</v>
      </c>
      <c r="C67" s="1083">
        <f>'2-1-13 SIS'!G67</f>
        <v>0</v>
      </c>
      <c r="D67" s="968">
        <f>'Table 3 Levels 1&amp;2'!AL68</f>
        <v>2908.0344869339228</v>
      </c>
      <c r="E67" s="1015">
        <f t="shared" si="2"/>
        <v>0</v>
      </c>
      <c r="F67" s="1015">
        <f>'Table 4 Level 3'!P66</f>
        <v>833.70999999999992</v>
      </c>
      <c r="G67" s="1015">
        <f t="shared" si="3"/>
        <v>0</v>
      </c>
      <c r="H67" s="991">
        <f t="shared" si="4"/>
        <v>0</v>
      </c>
      <c r="I67" s="1025">
        <f t="shared" si="5"/>
        <v>0</v>
      </c>
      <c r="J67" s="991">
        <f t="shared" si="6"/>
        <v>0</v>
      </c>
      <c r="K67" s="991">
        <v>0</v>
      </c>
      <c r="L67" s="991">
        <f t="shared" si="7"/>
        <v>0</v>
      </c>
      <c r="M67" s="991">
        <f t="shared" si="8"/>
        <v>0</v>
      </c>
      <c r="N67" s="981">
        <f>'Table 5C1A-Madison Prep'!N67</f>
        <v>6570</v>
      </c>
      <c r="O67" s="958">
        <f t="shared" si="9"/>
        <v>0</v>
      </c>
      <c r="P67" s="1028">
        <f t="shared" si="10"/>
        <v>0</v>
      </c>
      <c r="Q67" s="958">
        <f t="shared" si="11"/>
        <v>0</v>
      </c>
      <c r="R67" s="958">
        <v>0</v>
      </c>
      <c r="S67" s="958">
        <f t="shared" si="12"/>
        <v>0</v>
      </c>
      <c r="T67" s="958">
        <f t="shared" si="13"/>
        <v>0</v>
      </c>
      <c r="U67" s="959">
        <f t="shared" si="14"/>
        <v>0</v>
      </c>
      <c r="V67" s="959">
        <f t="shared" si="14"/>
        <v>0</v>
      </c>
    </row>
    <row r="68" spans="1:22">
      <c r="A68" s="960">
        <v>62</v>
      </c>
      <c r="B68" s="961" t="s">
        <v>153</v>
      </c>
      <c r="C68" s="1081">
        <f>'2-1-13 SIS'!G68</f>
        <v>0</v>
      </c>
      <c r="D68" s="966">
        <f>'Table 3 Levels 1&amp;2'!AL69</f>
        <v>5652.1730736722093</v>
      </c>
      <c r="E68" s="1013">
        <f t="shared" si="2"/>
        <v>0</v>
      </c>
      <c r="F68" s="1013">
        <f>'Table 4 Level 3'!P67</f>
        <v>516.08000000000004</v>
      </c>
      <c r="G68" s="1013">
        <f t="shared" si="3"/>
        <v>0</v>
      </c>
      <c r="H68" s="989">
        <f t="shared" si="4"/>
        <v>0</v>
      </c>
      <c r="I68" s="1023">
        <f t="shared" si="5"/>
        <v>0</v>
      </c>
      <c r="J68" s="989">
        <f t="shared" si="6"/>
        <v>0</v>
      </c>
      <c r="K68" s="989">
        <v>0</v>
      </c>
      <c r="L68" s="989">
        <f t="shared" si="7"/>
        <v>0</v>
      </c>
      <c r="M68" s="989">
        <f t="shared" si="8"/>
        <v>0</v>
      </c>
      <c r="N68" s="981">
        <f>'Table 5C1A-Madison Prep'!N68</f>
        <v>1934</v>
      </c>
      <c r="O68" s="983">
        <f t="shared" si="9"/>
        <v>0</v>
      </c>
      <c r="P68" s="1029">
        <f t="shared" si="10"/>
        <v>0</v>
      </c>
      <c r="Q68" s="983">
        <f t="shared" si="11"/>
        <v>0</v>
      </c>
      <c r="R68" s="983">
        <v>0</v>
      </c>
      <c r="S68" s="983">
        <f t="shared" si="12"/>
        <v>0</v>
      </c>
      <c r="T68" s="983">
        <f t="shared" si="13"/>
        <v>0</v>
      </c>
      <c r="U68" s="984">
        <f t="shared" si="14"/>
        <v>0</v>
      </c>
      <c r="V68" s="984">
        <f t="shared" si="14"/>
        <v>0</v>
      </c>
    </row>
    <row r="69" spans="1:22">
      <c r="A69" s="960">
        <v>63</v>
      </c>
      <c r="B69" s="961" t="s">
        <v>154</v>
      </c>
      <c r="C69" s="1081">
        <f>'2-1-13 SIS'!G69</f>
        <v>0</v>
      </c>
      <c r="D69" s="966">
        <f>'Table 3 Levels 1&amp;2'!AL70</f>
        <v>4362.300753810403</v>
      </c>
      <c r="E69" s="1013">
        <f t="shared" si="2"/>
        <v>0</v>
      </c>
      <c r="F69" s="1013">
        <f>'Table 4 Level 3'!P68</f>
        <v>756.79</v>
      </c>
      <c r="G69" s="1013">
        <f t="shared" si="3"/>
        <v>0</v>
      </c>
      <c r="H69" s="989">
        <f t="shared" si="4"/>
        <v>0</v>
      </c>
      <c r="I69" s="1023">
        <f t="shared" si="5"/>
        <v>0</v>
      </c>
      <c r="J69" s="989">
        <f t="shared" si="6"/>
        <v>0</v>
      </c>
      <c r="K69" s="989">
        <v>0</v>
      </c>
      <c r="L69" s="989">
        <f t="shared" si="7"/>
        <v>0</v>
      </c>
      <c r="M69" s="989">
        <f t="shared" si="8"/>
        <v>0</v>
      </c>
      <c r="N69" s="981">
        <f>'Table 5C1A-Madison Prep'!N69</f>
        <v>6787</v>
      </c>
      <c r="O69" s="983">
        <f t="shared" si="9"/>
        <v>0</v>
      </c>
      <c r="P69" s="1029">
        <f t="shared" si="10"/>
        <v>0</v>
      </c>
      <c r="Q69" s="983">
        <f t="shared" si="11"/>
        <v>0</v>
      </c>
      <c r="R69" s="983">
        <v>0</v>
      </c>
      <c r="S69" s="983">
        <f t="shared" si="12"/>
        <v>0</v>
      </c>
      <c r="T69" s="983">
        <f t="shared" si="13"/>
        <v>0</v>
      </c>
      <c r="U69" s="984">
        <f t="shared" si="14"/>
        <v>0</v>
      </c>
      <c r="V69" s="984">
        <f t="shared" si="14"/>
        <v>0</v>
      </c>
    </row>
    <row r="70" spans="1:22">
      <c r="A70" s="960">
        <v>64</v>
      </c>
      <c r="B70" s="961" t="s">
        <v>155</v>
      </c>
      <c r="C70" s="1081">
        <f>'2-1-13 SIS'!G70</f>
        <v>0</v>
      </c>
      <c r="D70" s="966">
        <f>'Table 3 Levels 1&amp;2'!AL71</f>
        <v>5960.2049072003338</v>
      </c>
      <c r="E70" s="1013">
        <f t="shared" si="2"/>
        <v>0</v>
      </c>
      <c r="F70" s="1013">
        <f>'Table 4 Level 3'!P69</f>
        <v>592.66</v>
      </c>
      <c r="G70" s="1013">
        <f t="shared" si="3"/>
        <v>0</v>
      </c>
      <c r="H70" s="989">
        <f t="shared" si="4"/>
        <v>0</v>
      </c>
      <c r="I70" s="1023">
        <f t="shared" si="5"/>
        <v>0</v>
      </c>
      <c r="J70" s="989">
        <f t="shared" si="6"/>
        <v>0</v>
      </c>
      <c r="K70" s="989">
        <v>0</v>
      </c>
      <c r="L70" s="989">
        <f t="shared" si="7"/>
        <v>0</v>
      </c>
      <c r="M70" s="989">
        <f t="shared" si="8"/>
        <v>0</v>
      </c>
      <c r="N70" s="981">
        <f>'Table 5C1A-Madison Prep'!N70</f>
        <v>2901</v>
      </c>
      <c r="O70" s="983">
        <f t="shared" si="9"/>
        <v>0</v>
      </c>
      <c r="P70" s="1029">
        <f t="shared" si="10"/>
        <v>0</v>
      </c>
      <c r="Q70" s="983">
        <f t="shared" si="11"/>
        <v>0</v>
      </c>
      <c r="R70" s="983">
        <v>0</v>
      </c>
      <c r="S70" s="983">
        <f t="shared" si="12"/>
        <v>0</v>
      </c>
      <c r="T70" s="983">
        <f t="shared" si="13"/>
        <v>0</v>
      </c>
      <c r="U70" s="984">
        <f t="shared" si="14"/>
        <v>0</v>
      </c>
      <c r="V70" s="984">
        <f t="shared" si="14"/>
        <v>0</v>
      </c>
    </row>
    <row r="71" spans="1:22">
      <c r="A71" s="963">
        <v>65</v>
      </c>
      <c r="B71" s="964" t="s">
        <v>156</v>
      </c>
      <c r="C71" s="1082">
        <f>'2-1-13 SIS'!G71</f>
        <v>0</v>
      </c>
      <c r="D71" s="967">
        <f>'Table 3 Levels 1&amp;2'!AL72</f>
        <v>4579.2772303106676</v>
      </c>
      <c r="E71" s="1014">
        <f t="shared" si="2"/>
        <v>0</v>
      </c>
      <c r="F71" s="1014">
        <f>'Table 4 Level 3'!P70</f>
        <v>829.12</v>
      </c>
      <c r="G71" s="1014">
        <f t="shared" si="3"/>
        <v>0</v>
      </c>
      <c r="H71" s="990">
        <f t="shared" si="4"/>
        <v>0</v>
      </c>
      <c r="I71" s="1024">
        <f t="shared" si="5"/>
        <v>0</v>
      </c>
      <c r="J71" s="990">
        <f t="shared" si="6"/>
        <v>0</v>
      </c>
      <c r="K71" s="990">
        <v>0</v>
      </c>
      <c r="L71" s="990">
        <f t="shared" si="7"/>
        <v>0</v>
      </c>
      <c r="M71" s="990">
        <f t="shared" si="8"/>
        <v>0</v>
      </c>
      <c r="N71" s="986">
        <f>'Table 5C1A-Madison Prep'!N71</f>
        <v>5001</v>
      </c>
      <c r="O71" s="987">
        <f t="shared" si="9"/>
        <v>0</v>
      </c>
      <c r="P71" s="1030">
        <f t="shared" si="10"/>
        <v>0</v>
      </c>
      <c r="Q71" s="987">
        <f t="shared" si="11"/>
        <v>0</v>
      </c>
      <c r="R71" s="987">
        <v>0</v>
      </c>
      <c r="S71" s="987">
        <f t="shared" si="12"/>
        <v>0</v>
      </c>
      <c r="T71" s="987">
        <f t="shared" si="13"/>
        <v>0</v>
      </c>
      <c r="U71" s="988">
        <f t="shared" si="14"/>
        <v>0</v>
      </c>
      <c r="V71" s="988">
        <f t="shared" si="14"/>
        <v>0</v>
      </c>
    </row>
    <row r="72" spans="1:22">
      <c r="A72" s="953">
        <v>66</v>
      </c>
      <c r="B72" s="954" t="s">
        <v>157</v>
      </c>
      <c r="C72" s="1083">
        <f>'2-1-13 SIS'!G72</f>
        <v>0</v>
      </c>
      <c r="D72" s="968">
        <f>'Table 3 Levels 1&amp;2'!AL73</f>
        <v>6370.8108195713585</v>
      </c>
      <c r="E72" s="1015">
        <f t="shared" ref="E72:E75" si="15">C72*D72</f>
        <v>0</v>
      </c>
      <c r="F72" s="1015">
        <f>'Table 4 Level 3'!P71</f>
        <v>730.06</v>
      </c>
      <c r="G72" s="1015">
        <f t="shared" ref="G72:G75" si="16">C72*F72</f>
        <v>0</v>
      </c>
      <c r="H72" s="991">
        <f t="shared" ref="H72:H75" si="17">E72+G72</f>
        <v>0</v>
      </c>
      <c r="I72" s="1025">
        <f t="shared" ref="I72:I75" si="18">-(0.25%*H72)</f>
        <v>0</v>
      </c>
      <c r="J72" s="991">
        <f t="shared" ref="J72:J75" si="19">SUM(H72:I72)</f>
        <v>0</v>
      </c>
      <c r="K72" s="991">
        <v>0</v>
      </c>
      <c r="L72" s="991">
        <f t="shared" ref="L72:L75" si="20">SUM(J72:K72)</f>
        <v>0</v>
      </c>
      <c r="M72" s="991">
        <f t="shared" ref="M72:M75" si="21">L72/12</f>
        <v>0</v>
      </c>
      <c r="N72" s="981">
        <f>'Table 5C1A-Madison Prep'!N72</f>
        <v>3415</v>
      </c>
      <c r="O72" s="958">
        <f t="shared" ref="O72:O75" si="22">C72*N72</f>
        <v>0</v>
      </c>
      <c r="P72" s="1028">
        <f t="shared" ref="P72:P75" si="23">-(0.25%*O72)</f>
        <v>0</v>
      </c>
      <c r="Q72" s="958">
        <f t="shared" ref="Q72:Q75" si="24">SUM(O72:P72)</f>
        <v>0</v>
      </c>
      <c r="R72" s="958">
        <v>0</v>
      </c>
      <c r="S72" s="958">
        <f t="shared" ref="S72:S75" si="25">SUM(Q72:R72)</f>
        <v>0</v>
      </c>
      <c r="T72" s="958">
        <f t="shared" ref="T72:T75" si="26">S72/12</f>
        <v>0</v>
      </c>
      <c r="U72" s="959">
        <f t="shared" ref="U72:V75" si="27">L72+S72</f>
        <v>0</v>
      </c>
      <c r="V72" s="959">
        <f t="shared" si="27"/>
        <v>0</v>
      </c>
    </row>
    <row r="73" spans="1:22">
      <c r="A73" s="960">
        <v>67</v>
      </c>
      <c r="B73" s="961" t="s">
        <v>32</v>
      </c>
      <c r="C73" s="1081">
        <f>'2-1-13 SIS'!G73</f>
        <v>0</v>
      </c>
      <c r="D73" s="966">
        <f>'Table 3 Levels 1&amp;2'!AL74</f>
        <v>4951.6009932106244</v>
      </c>
      <c r="E73" s="1013">
        <f t="shared" si="15"/>
        <v>0</v>
      </c>
      <c r="F73" s="1013">
        <f>'Table 4 Level 3'!P72</f>
        <v>715.61</v>
      </c>
      <c r="G73" s="1013">
        <f t="shared" si="16"/>
        <v>0</v>
      </c>
      <c r="H73" s="989">
        <f t="shared" si="17"/>
        <v>0</v>
      </c>
      <c r="I73" s="1023">
        <f t="shared" si="18"/>
        <v>0</v>
      </c>
      <c r="J73" s="989">
        <f t="shared" si="19"/>
        <v>0</v>
      </c>
      <c r="K73" s="989">
        <v>0</v>
      </c>
      <c r="L73" s="989">
        <f t="shared" si="20"/>
        <v>0</v>
      </c>
      <c r="M73" s="989">
        <f t="shared" si="21"/>
        <v>0</v>
      </c>
      <c r="N73" s="981">
        <f>'Table 5C1A-Madison Prep'!N73</f>
        <v>5221</v>
      </c>
      <c r="O73" s="983">
        <f t="shared" si="22"/>
        <v>0</v>
      </c>
      <c r="P73" s="1029">
        <f t="shared" si="23"/>
        <v>0</v>
      </c>
      <c r="Q73" s="983">
        <f t="shared" si="24"/>
        <v>0</v>
      </c>
      <c r="R73" s="983">
        <v>0</v>
      </c>
      <c r="S73" s="983">
        <f t="shared" si="25"/>
        <v>0</v>
      </c>
      <c r="T73" s="983">
        <f t="shared" si="26"/>
        <v>0</v>
      </c>
      <c r="U73" s="984">
        <f t="shared" si="27"/>
        <v>0</v>
      </c>
      <c r="V73" s="984">
        <f t="shared" si="27"/>
        <v>0</v>
      </c>
    </row>
    <row r="74" spans="1:22">
      <c r="A74" s="960">
        <v>68</v>
      </c>
      <c r="B74" s="961" t="s">
        <v>30</v>
      </c>
      <c r="C74" s="1081">
        <f>'2-1-13 SIS'!G74</f>
        <v>0</v>
      </c>
      <c r="D74" s="966">
        <f>'Table 3 Levels 1&amp;2'!AL75</f>
        <v>6077.2398733698947</v>
      </c>
      <c r="E74" s="1013">
        <f t="shared" si="15"/>
        <v>0</v>
      </c>
      <c r="F74" s="1013">
        <f>'Table 4 Level 3'!P73</f>
        <v>798.7</v>
      </c>
      <c r="G74" s="1013">
        <f t="shared" si="16"/>
        <v>0</v>
      </c>
      <c r="H74" s="989">
        <f t="shared" si="17"/>
        <v>0</v>
      </c>
      <c r="I74" s="1023">
        <f t="shared" si="18"/>
        <v>0</v>
      </c>
      <c r="J74" s="989">
        <f t="shared" si="19"/>
        <v>0</v>
      </c>
      <c r="K74" s="989">
        <v>0</v>
      </c>
      <c r="L74" s="989">
        <f t="shared" si="20"/>
        <v>0</v>
      </c>
      <c r="M74" s="989">
        <f t="shared" si="21"/>
        <v>0</v>
      </c>
      <c r="N74" s="981">
        <f>'Table 5C1A-Madison Prep'!N74</f>
        <v>2680</v>
      </c>
      <c r="O74" s="983">
        <f t="shared" si="22"/>
        <v>0</v>
      </c>
      <c r="P74" s="1029">
        <f t="shared" si="23"/>
        <v>0</v>
      </c>
      <c r="Q74" s="983">
        <f t="shared" si="24"/>
        <v>0</v>
      </c>
      <c r="R74" s="983">
        <v>0</v>
      </c>
      <c r="S74" s="983">
        <f t="shared" si="25"/>
        <v>0</v>
      </c>
      <c r="T74" s="983">
        <f t="shared" si="26"/>
        <v>0</v>
      </c>
      <c r="U74" s="984">
        <f t="shared" si="27"/>
        <v>0</v>
      </c>
      <c r="V74" s="984">
        <f t="shared" si="27"/>
        <v>0</v>
      </c>
    </row>
    <row r="75" spans="1:22">
      <c r="A75" s="969">
        <v>69</v>
      </c>
      <c r="B75" s="970" t="s">
        <v>208</v>
      </c>
      <c r="C75" s="1084">
        <f>'2-1-13 SIS'!G75</f>
        <v>0</v>
      </c>
      <c r="D75" s="971">
        <f>'Table 3 Levels 1&amp;2'!AL76</f>
        <v>5585.8253106686579</v>
      </c>
      <c r="E75" s="1016">
        <f t="shared" si="15"/>
        <v>0</v>
      </c>
      <c r="F75" s="1016">
        <f>'Table 4 Level 3'!P74</f>
        <v>705.67</v>
      </c>
      <c r="G75" s="1016">
        <f t="shared" si="16"/>
        <v>0</v>
      </c>
      <c r="H75" s="992">
        <f t="shared" si="17"/>
        <v>0</v>
      </c>
      <c r="I75" s="1026">
        <f t="shared" si="18"/>
        <v>0</v>
      </c>
      <c r="J75" s="992">
        <f t="shared" si="19"/>
        <v>0</v>
      </c>
      <c r="K75" s="992">
        <v>0</v>
      </c>
      <c r="L75" s="992">
        <f t="shared" si="20"/>
        <v>0</v>
      </c>
      <c r="M75" s="992">
        <f t="shared" si="21"/>
        <v>0</v>
      </c>
      <c r="N75" s="981">
        <f>'Table 5C1A-Madison Prep'!N75</f>
        <v>3263</v>
      </c>
      <c r="O75" s="993">
        <f t="shared" si="22"/>
        <v>0</v>
      </c>
      <c r="P75" s="1031">
        <f t="shared" si="23"/>
        <v>0</v>
      </c>
      <c r="Q75" s="993">
        <f t="shared" si="24"/>
        <v>0</v>
      </c>
      <c r="R75" s="993">
        <v>0</v>
      </c>
      <c r="S75" s="993">
        <f t="shared" si="25"/>
        <v>0</v>
      </c>
      <c r="T75" s="993">
        <f t="shared" si="26"/>
        <v>0</v>
      </c>
      <c r="U75" s="994">
        <f t="shared" si="27"/>
        <v>0</v>
      </c>
      <c r="V75" s="994">
        <f t="shared" si="27"/>
        <v>0</v>
      </c>
    </row>
    <row r="76" spans="1:22" ht="13.5" thickBot="1">
      <c r="A76" s="972"/>
      <c r="B76" s="973" t="s">
        <v>158</v>
      </c>
      <c r="C76" s="974">
        <f>SUM(C7:C75)</f>
        <v>531</v>
      </c>
      <c r="D76" s="975"/>
      <c r="E76" s="1017">
        <f>SUM(E7:E75)</f>
        <v>2270077.9683872103</v>
      </c>
      <c r="F76" s="1017">
        <f>'Table 4 Level 3'!P75</f>
        <v>704.49059912051428</v>
      </c>
      <c r="G76" s="1017">
        <f t="shared" ref="G76:L76" si="28">SUM(G7:G75)</f>
        <v>323549.40000000002</v>
      </c>
      <c r="H76" s="976">
        <f t="shared" si="28"/>
        <v>2593627.3683872102</v>
      </c>
      <c r="I76" s="1027">
        <f t="shared" si="28"/>
        <v>-6484.0684209680257</v>
      </c>
      <c r="J76" s="976">
        <f t="shared" si="28"/>
        <v>2587143.2999662422</v>
      </c>
      <c r="K76" s="976">
        <f t="shared" si="28"/>
        <v>0</v>
      </c>
      <c r="L76" s="976">
        <f t="shared" si="28"/>
        <v>2587143.2999662422</v>
      </c>
      <c r="M76" s="976">
        <f>SUM(M7:M75)</f>
        <v>215595.27499718685</v>
      </c>
      <c r="N76" s="995">
        <f>'Table 5C1A-Madison Prep'!N76</f>
        <v>4503</v>
      </c>
      <c r="O76" s="977">
        <f t="shared" ref="O76:V76" si="29">SUM(O7:O75)</f>
        <v>2373763</v>
      </c>
      <c r="P76" s="1032">
        <f t="shared" si="29"/>
        <v>-5934.4075000000003</v>
      </c>
      <c r="Q76" s="977">
        <f t="shared" si="29"/>
        <v>2367828.5924999998</v>
      </c>
      <c r="R76" s="977">
        <f t="shared" si="29"/>
        <v>0</v>
      </c>
      <c r="S76" s="977">
        <f t="shared" si="29"/>
        <v>2367828.5924999998</v>
      </c>
      <c r="T76" s="977">
        <f t="shared" si="29"/>
        <v>197319.04937499997</v>
      </c>
      <c r="U76" s="978">
        <f t="shared" si="29"/>
        <v>4954971.8924662424</v>
      </c>
      <c r="V76" s="978">
        <f t="shared" si="29"/>
        <v>412914.32437218679</v>
      </c>
    </row>
    <row r="77" spans="1:22" ht="13.5" thickTop="1"/>
  </sheetData>
  <mergeCells count="19">
    <mergeCell ref="A2:B4"/>
    <mergeCell ref="C2:M2"/>
    <mergeCell ref="N2:T2"/>
    <mergeCell ref="U2:U4"/>
    <mergeCell ref="V2:V4"/>
    <mergeCell ref="C3:C4"/>
    <mergeCell ref="D3:D4"/>
    <mergeCell ref="E3:E4"/>
    <mergeCell ref="F3:F4"/>
    <mergeCell ref="G3:G4"/>
    <mergeCell ref="Q3:Q4"/>
    <mergeCell ref="R3:R4"/>
    <mergeCell ref="S3:S4"/>
    <mergeCell ref="H3:H4"/>
    <mergeCell ref="J3:J4"/>
    <mergeCell ref="K3:K4"/>
    <mergeCell ref="L3:L4"/>
    <mergeCell ref="M3:M4"/>
    <mergeCell ref="N3:N4"/>
  </mergeCells>
  <pageMargins left="0.34" right="0.46" top="0.75" bottom="0.75" header="0.3" footer="0.3"/>
  <pageSetup paperSize="5" scale="60" firstPageNumber="64" orientation="portrait" useFirstPageNumber="1" r:id="rId1"/>
  <headerFooter>
    <oddHeader>&amp;L&amp;"Arial,Bold"&amp;20Table 5C1-H: FY2013-14 MFP Budget Letter 
Southwest LA Charter Academy</oddHeader>
    <oddFooter>&amp;R&amp;P</oddFooter>
  </headerFooter>
  <colBreaks count="1" manualBreakCount="1">
    <brk id="13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view="pageBreakPreview" zoomScale="90" zoomScaleNormal="100" zoomScaleSheetLayoutView="90" workbookViewId="0">
      <pane xSplit="2" ySplit="6" topLeftCell="K7" activePane="bottomRight" state="frozen"/>
      <selection activeCell="A2" sqref="A2:B4"/>
      <selection pane="topRight" activeCell="A2" sqref="A2:B4"/>
      <selection pane="bottomLeft" activeCell="A2" sqref="A2:B4"/>
      <selection pane="bottomRight" activeCell="N8" sqref="N8:N76"/>
    </sheetView>
  </sheetViews>
  <sheetFormatPr defaultRowHeight="12.75"/>
  <cols>
    <col min="1" max="1" width="4.28515625" style="1077" customWidth="1"/>
    <col min="2" max="2" width="17.85546875" style="1077" bestFit="1" customWidth="1"/>
    <col min="3" max="3" width="12.7109375" style="1077" customWidth="1"/>
    <col min="4" max="4" width="17" style="1077" customWidth="1"/>
    <col min="5" max="5" width="11" style="1077" bestFit="1" customWidth="1"/>
    <col min="6" max="6" width="12" style="1077" customWidth="1"/>
    <col min="7" max="7" width="13.28515625" style="1077" customWidth="1"/>
    <col min="8" max="8" width="14.5703125" style="1077" customWidth="1"/>
    <col min="9" max="9" width="12.28515625" style="1077" customWidth="1"/>
    <col min="10" max="10" width="12" style="1077" bestFit="1" customWidth="1"/>
    <col min="11" max="11" width="13.42578125" style="1077" bestFit="1" customWidth="1"/>
    <col min="12" max="12" width="14" style="1077" customWidth="1"/>
    <col min="13" max="13" width="9.28515625" style="1077" bestFit="1" customWidth="1"/>
    <col min="14" max="14" width="17.28515625" style="1077" customWidth="1"/>
    <col min="15" max="15" width="16.7109375" style="1077" customWidth="1"/>
    <col min="16" max="16" width="13.7109375" style="1077" customWidth="1"/>
    <col min="17" max="17" width="17" style="1077" customWidth="1"/>
    <col min="18" max="18" width="15.28515625" style="1077" customWidth="1"/>
    <col min="19" max="19" width="13.140625" style="1077" customWidth="1"/>
    <col min="20" max="20" width="12" style="1077" customWidth="1"/>
    <col min="21" max="21" width="11" style="1077" customWidth="1"/>
    <col min="22" max="22" width="12.140625" style="1077" customWidth="1"/>
    <col min="23" max="16384" width="9.140625" style="1077"/>
  </cols>
  <sheetData>
    <row r="1" spans="1:22">
      <c r="C1" s="1238"/>
      <c r="D1" s="1238"/>
      <c r="E1" s="1238"/>
      <c r="F1" s="1238"/>
      <c r="G1" s="1238"/>
      <c r="H1" s="1238"/>
      <c r="I1" s="1238"/>
      <c r="J1" s="1238"/>
      <c r="K1" s="1238"/>
      <c r="L1" s="1238"/>
      <c r="M1" s="1238"/>
    </row>
    <row r="2" spans="1:22" ht="45" customHeight="1">
      <c r="A2" s="1742" t="s">
        <v>952</v>
      </c>
      <c r="B2" s="1743"/>
      <c r="C2" s="1718" t="s">
        <v>686</v>
      </c>
      <c r="D2" s="1719"/>
      <c r="E2" s="1719"/>
      <c r="F2" s="1719"/>
      <c r="G2" s="1719"/>
      <c r="H2" s="1719"/>
      <c r="I2" s="1719"/>
      <c r="J2" s="1719"/>
      <c r="K2" s="1719"/>
      <c r="L2" s="1719"/>
      <c r="M2" s="1720"/>
      <c r="N2" s="1700" t="s">
        <v>656</v>
      </c>
      <c r="O2" s="1701"/>
      <c r="P2" s="1701"/>
      <c r="Q2" s="1701"/>
      <c r="R2" s="1701"/>
      <c r="S2" s="1701"/>
      <c r="T2" s="1702"/>
      <c r="U2" s="1703" t="s">
        <v>695</v>
      </c>
      <c r="V2" s="1703" t="s">
        <v>654</v>
      </c>
    </row>
    <row r="3" spans="1:22" ht="111.75" customHeight="1">
      <c r="A3" s="1744"/>
      <c r="B3" s="1745"/>
      <c r="C3" s="1748" t="s">
        <v>589</v>
      </c>
      <c r="D3" s="1717" t="s">
        <v>744</v>
      </c>
      <c r="E3" s="1717" t="s">
        <v>687</v>
      </c>
      <c r="F3" s="1706" t="s">
        <v>501</v>
      </c>
      <c r="G3" s="1706" t="s">
        <v>445</v>
      </c>
      <c r="H3" s="1706" t="s">
        <v>688</v>
      </c>
      <c r="I3" s="1231" t="s">
        <v>456</v>
      </c>
      <c r="J3" s="1706" t="s">
        <v>689</v>
      </c>
      <c r="K3" s="1706" t="s">
        <v>967</v>
      </c>
      <c r="L3" s="1706" t="s">
        <v>690</v>
      </c>
      <c r="M3" s="1717" t="s">
        <v>655</v>
      </c>
      <c r="N3" s="1709" t="s">
        <v>527</v>
      </c>
      <c r="O3" s="1278" t="s">
        <v>691</v>
      </c>
      <c r="P3" s="1233" t="s">
        <v>457</v>
      </c>
      <c r="Q3" s="1709" t="s">
        <v>692</v>
      </c>
      <c r="R3" s="1709" t="s">
        <v>967</v>
      </c>
      <c r="S3" s="1709" t="s">
        <v>693</v>
      </c>
      <c r="T3" s="1278" t="s">
        <v>694</v>
      </c>
      <c r="U3" s="1704"/>
      <c r="V3" s="1704"/>
    </row>
    <row r="4" spans="1:22" ht="23.25" customHeight="1">
      <c r="A4" s="1746"/>
      <c r="B4" s="1747"/>
      <c r="C4" s="1749"/>
      <c r="D4" s="1717"/>
      <c r="E4" s="1717"/>
      <c r="F4" s="1707"/>
      <c r="G4" s="1707"/>
      <c r="H4" s="1707"/>
      <c r="I4" s="1018">
        <v>2.5000000000000001E-3</v>
      </c>
      <c r="J4" s="1707"/>
      <c r="K4" s="1707"/>
      <c r="L4" s="1707"/>
      <c r="M4" s="1717"/>
      <c r="N4" s="1710"/>
      <c r="O4" s="1232"/>
      <c r="P4" s="1019">
        <v>2.5000000000000001E-3</v>
      </c>
      <c r="Q4" s="1710"/>
      <c r="R4" s="1710"/>
      <c r="S4" s="1710"/>
      <c r="T4" s="1232"/>
      <c r="U4" s="1705"/>
      <c r="V4" s="1705"/>
    </row>
    <row r="5" spans="1:22" ht="14.25" customHeight="1">
      <c r="A5" s="950"/>
      <c r="B5" s="951"/>
      <c r="C5" s="952">
        <v>1</v>
      </c>
      <c r="D5" s="952">
        <f t="shared" ref="D5" si="0">C5+1</f>
        <v>2</v>
      </c>
      <c r="E5" s="952">
        <f>D5+1</f>
        <v>3</v>
      </c>
      <c r="F5" s="952">
        <f t="shared" ref="F5:V5" si="1">E5+1</f>
        <v>4</v>
      </c>
      <c r="G5" s="952">
        <f t="shared" si="1"/>
        <v>5</v>
      </c>
      <c r="H5" s="952">
        <f t="shared" si="1"/>
        <v>6</v>
      </c>
      <c r="I5" s="952">
        <f t="shared" si="1"/>
        <v>7</v>
      </c>
      <c r="J5" s="952">
        <f t="shared" si="1"/>
        <v>8</v>
      </c>
      <c r="K5" s="952">
        <f t="shared" si="1"/>
        <v>9</v>
      </c>
      <c r="L5" s="952">
        <f t="shared" si="1"/>
        <v>10</v>
      </c>
      <c r="M5" s="952">
        <f t="shared" si="1"/>
        <v>11</v>
      </c>
      <c r="N5" s="952">
        <f t="shared" si="1"/>
        <v>12</v>
      </c>
      <c r="O5" s="952">
        <f t="shared" si="1"/>
        <v>13</v>
      </c>
      <c r="P5" s="952">
        <f t="shared" si="1"/>
        <v>14</v>
      </c>
      <c r="Q5" s="952">
        <f t="shared" si="1"/>
        <v>15</v>
      </c>
      <c r="R5" s="952">
        <f t="shared" si="1"/>
        <v>16</v>
      </c>
      <c r="S5" s="952">
        <f t="shared" si="1"/>
        <v>17</v>
      </c>
      <c r="T5" s="952">
        <f t="shared" si="1"/>
        <v>18</v>
      </c>
      <c r="U5" s="952">
        <f t="shared" si="1"/>
        <v>19</v>
      </c>
      <c r="V5" s="952">
        <f t="shared" si="1"/>
        <v>20</v>
      </c>
    </row>
    <row r="6" spans="1:22" ht="27" customHeight="1">
      <c r="A6" s="979"/>
      <c r="B6" s="980"/>
      <c r="C6" s="980"/>
      <c r="D6" s="980"/>
      <c r="E6" s="980"/>
      <c r="F6" s="980"/>
      <c r="G6" s="980"/>
      <c r="H6" s="980"/>
      <c r="I6" s="980"/>
      <c r="J6" s="980"/>
      <c r="K6" s="980"/>
      <c r="L6" s="980"/>
      <c r="M6" s="980"/>
      <c r="N6" s="980"/>
      <c r="O6" s="980"/>
      <c r="P6" s="980"/>
      <c r="Q6" s="980"/>
      <c r="R6" s="980"/>
      <c r="S6" s="980"/>
      <c r="T6" s="980"/>
      <c r="U6" s="980"/>
      <c r="V6" s="980"/>
    </row>
    <row r="7" spans="1:22">
      <c r="A7" s="953">
        <v>1</v>
      </c>
      <c r="B7" s="954" t="s">
        <v>93</v>
      </c>
      <c r="C7" s="1080">
        <v>0</v>
      </c>
      <c r="D7" s="956">
        <f>'Table 3 Levels 1&amp;2'!AL8</f>
        <v>4597.5882673899441</v>
      </c>
      <c r="E7" s="1010">
        <f>C7*D7</f>
        <v>0</v>
      </c>
      <c r="F7" s="1010">
        <f>'Table 4 Level 3'!P6</f>
        <v>777.48</v>
      </c>
      <c r="G7" s="1010">
        <f>C7*F7</f>
        <v>0</v>
      </c>
      <c r="H7" s="957">
        <f>E7+G7</f>
        <v>0</v>
      </c>
      <c r="I7" s="1020">
        <f>-(0.25%*H7)</f>
        <v>0</v>
      </c>
      <c r="J7" s="957">
        <f>SUM(H7:I7)</f>
        <v>0</v>
      </c>
      <c r="K7" s="957">
        <v>0</v>
      </c>
      <c r="L7" s="957">
        <f>SUM(J7:K7)</f>
        <v>0</v>
      </c>
      <c r="M7" s="957">
        <f>L7/12</f>
        <v>0</v>
      </c>
      <c r="N7" s="981">
        <f>'Table 5C1A-Madison Prep'!N7</f>
        <v>2168</v>
      </c>
      <c r="O7" s="958">
        <f>C7*N7</f>
        <v>0</v>
      </c>
      <c r="P7" s="1028">
        <f>-(0.25%*O7)</f>
        <v>0</v>
      </c>
      <c r="Q7" s="958">
        <f>SUM(O7:P7)</f>
        <v>0</v>
      </c>
      <c r="R7" s="958">
        <v>0</v>
      </c>
      <c r="S7" s="958">
        <f>SUM(Q7:R7)</f>
        <v>0</v>
      </c>
      <c r="T7" s="958">
        <f>S7/12</f>
        <v>0</v>
      </c>
      <c r="U7" s="959">
        <f>L7+S7</f>
        <v>0</v>
      </c>
      <c r="V7" s="959">
        <f>M7+T7</f>
        <v>0</v>
      </c>
    </row>
    <row r="8" spans="1:22">
      <c r="A8" s="960">
        <v>2</v>
      </c>
      <c r="B8" s="961" t="s">
        <v>94</v>
      </c>
      <c r="C8" s="1078">
        <v>0</v>
      </c>
      <c r="D8" s="962">
        <f>'Table 3 Levels 1&amp;2'!AL9</f>
        <v>6182.4313545138375</v>
      </c>
      <c r="E8" s="1011">
        <f t="shared" ref="E8:E71" si="2">C8*D8</f>
        <v>0</v>
      </c>
      <c r="F8" s="1011">
        <f>'Table 4 Level 3'!P7</f>
        <v>842.32</v>
      </c>
      <c r="G8" s="1011">
        <f t="shared" ref="G8:G71" si="3">C8*F8</f>
        <v>0</v>
      </c>
      <c r="H8" s="982">
        <f t="shared" ref="H8:H71" si="4">E8+G8</f>
        <v>0</v>
      </c>
      <c r="I8" s="1021">
        <f t="shared" ref="I8:I71" si="5">-(0.25%*H8)</f>
        <v>0</v>
      </c>
      <c r="J8" s="982">
        <f t="shared" ref="J8:J71" si="6">SUM(H8:I8)</f>
        <v>0</v>
      </c>
      <c r="K8" s="982">
        <v>0</v>
      </c>
      <c r="L8" s="982">
        <f t="shared" ref="L8:L71" si="7">SUM(J8:K8)</f>
        <v>0</v>
      </c>
      <c r="M8" s="982">
        <f t="shared" ref="M8:M71" si="8">L8/12</f>
        <v>0</v>
      </c>
      <c r="N8" s="981">
        <f>'Table 5C1A-Madison Prep'!N8</f>
        <v>2627</v>
      </c>
      <c r="O8" s="983">
        <f t="shared" ref="O8:O71" si="9">C8*N8</f>
        <v>0</v>
      </c>
      <c r="P8" s="1029">
        <f t="shared" ref="P8:P71" si="10">-(0.25%*O8)</f>
        <v>0</v>
      </c>
      <c r="Q8" s="983">
        <f t="shared" ref="Q8:Q71" si="11">SUM(O8:P8)</f>
        <v>0</v>
      </c>
      <c r="R8" s="983">
        <v>0</v>
      </c>
      <c r="S8" s="983">
        <f t="shared" ref="S8:S71" si="12">SUM(Q8:R8)</f>
        <v>0</v>
      </c>
      <c r="T8" s="983">
        <f t="shared" ref="T8:T71" si="13">S8/12</f>
        <v>0</v>
      </c>
      <c r="U8" s="984">
        <f t="shared" ref="U8:V71" si="14">L8+S8</f>
        <v>0</v>
      </c>
      <c r="V8" s="984">
        <f t="shared" si="14"/>
        <v>0</v>
      </c>
    </row>
    <row r="9" spans="1:22">
      <c r="A9" s="960">
        <v>3</v>
      </c>
      <c r="B9" s="961" t="s">
        <v>95</v>
      </c>
      <c r="C9" s="1078">
        <f>ROUND(138*16%,0)</f>
        <v>22</v>
      </c>
      <c r="D9" s="962">
        <f>'Table 3 Levels 1&amp;2'!AL10</f>
        <v>4206.710737685361</v>
      </c>
      <c r="E9" s="1011">
        <f t="shared" si="2"/>
        <v>92547.636229077936</v>
      </c>
      <c r="F9" s="1011">
        <f>'Table 4 Level 3'!P8</f>
        <v>596.84</v>
      </c>
      <c r="G9" s="1011">
        <f t="shared" si="3"/>
        <v>13130.480000000001</v>
      </c>
      <c r="H9" s="982">
        <f t="shared" si="4"/>
        <v>105678.11622907793</v>
      </c>
      <c r="I9" s="1021">
        <f t="shared" si="5"/>
        <v>-264.19529057269483</v>
      </c>
      <c r="J9" s="982">
        <f t="shared" si="6"/>
        <v>105413.92093850524</v>
      </c>
      <c r="K9" s="982">
        <v>0</v>
      </c>
      <c r="L9" s="982">
        <f t="shared" si="7"/>
        <v>105413.92093850524</v>
      </c>
      <c r="M9" s="982">
        <f t="shared" si="8"/>
        <v>8784.4934115421038</v>
      </c>
      <c r="N9" s="981">
        <f>'Table 5C1A-Madison Prep'!N9</f>
        <v>5431</v>
      </c>
      <c r="O9" s="983">
        <f t="shared" si="9"/>
        <v>119482</v>
      </c>
      <c r="P9" s="1029">
        <f t="shared" si="10"/>
        <v>-298.70499999999998</v>
      </c>
      <c r="Q9" s="983">
        <f t="shared" si="11"/>
        <v>119183.295</v>
      </c>
      <c r="R9" s="983">
        <v>0</v>
      </c>
      <c r="S9" s="983">
        <f t="shared" si="12"/>
        <v>119183.295</v>
      </c>
      <c r="T9" s="983">
        <f t="shared" si="13"/>
        <v>9931.9412499999999</v>
      </c>
      <c r="U9" s="984">
        <f t="shared" si="14"/>
        <v>224597.21593850525</v>
      </c>
      <c r="V9" s="984">
        <f t="shared" si="14"/>
        <v>18716.434661542102</v>
      </c>
    </row>
    <row r="10" spans="1:22">
      <c r="A10" s="960">
        <v>4</v>
      </c>
      <c r="B10" s="961" t="s">
        <v>96</v>
      </c>
      <c r="C10" s="1078">
        <v>0</v>
      </c>
      <c r="D10" s="962">
        <f>'Table 3 Levels 1&amp;2'!AL11</f>
        <v>5987.4993535453223</v>
      </c>
      <c r="E10" s="1011">
        <f t="shared" si="2"/>
        <v>0</v>
      </c>
      <c r="F10" s="1011">
        <f>'Table 4 Level 3'!P9</f>
        <v>585.76</v>
      </c>
      <c r="G10" s="1011">
        <f t="shared" si="3"/>
        <v>0</v>
      </c>
      <c r="H10" s="982">
        <f t="shared" si="4"/>
        <v>0</v>
      </c>
      <c r="I10" s="1021">
        <f t="shared" si="5"/>
        <v>0</v>
      </c>
      <c r="J10" s="982">
        <f t="shared" si="6"/>
        <v>0</v>
      </c>
      <c r="K10" s="982">
        <v>0</v>
      </c>
      <c r="L10" s="982">
        <f t="shared" si="7"/>
        <v>0</v>
      </c>
      <c r="M10" s="982">
        <f t="shared" si="8"/>
        <v>0</v>
      </c>
      <c r="N10" s="981">
        <f>'Table 5C1A-Madison Prep'!N10</f>
        <v>3029</v>
      </c>
      <c r="O10" s="983">
        <f t="shared" si="9"/>
        <v>0</v>
      </c>
      <c r="P10" s="1029">
        <f t="shared" si="10"/>
        <v>0</v>
      </c>
      <c r="Q10" s="983">
        <f t="shared" si="11"/>
        <v>0</v>
      </c>
      <c r="R10" s="983">
        <v>0</v>
      </c>
      <c r="S10" s="983">
        <f t="shared" si="12"/>
        <v>0</v>
      </c>
      <c r="T10" s="983">
        <f t="shared" si="13"/>
        <v>0</v>
      </c>
      <c r="U10" s="984">
        <f t="shared" si="14"/>
        <v>0</v>
      </c>
      <c r="V10" s="984">
        <f t="shared" si="14"/>
        <v>0</v>
      </c>
    </row>
    <row r="11" spans="1:22">
      <c r="A11" s="963">
        <v>5</v>
      </c>
      <c r="B11" s="964" t="s">
        <v>97</v>
      </c>
      <c r="C11" s="1079">
        <v>0</v>
      </c>
      <c r="D11" s="965">
        <f>'Table 3 Levels 1&amp;2'!AL12</f>
        <v>4986.8166927080074</v>
      </c>
      <c r="E11" s="1012">
        <f t="shared" si="2"/>
        <v>0</v>
      </c>
      <c r="F11" s="1012">
        <f>'Table 4 Level 3'!P10</f>
        <v>555.91</v>
      </c>
      <c r="G11" s="1012">
        <f t="shared" si="3"/>
        <v>0</v>
      </c>
      <c r="H11" s="985">
        <f t="shared" si="4"/>
        <v>0</v>
      </c>
      <c r="I11" s="1022">
        <f t="shared" si="5"/>
        <v>0</v>
      </c>
      <c r="J11" s="985">
        <f t="shared" si="6"/>
        <v>0</v>
      </c>
      <c r="K11" s="985">
        <v>0</v>
      </c>
      <c r="L11" s="985">
        <f t="shared" si="7"/>
        <v>0</v>
      </c>
      <c r="M11" s="985">
        <f t="shared" si="8"/>
        <v>0</v>
      </c>
      <c r="N11" s="986">
        <f>'Table 5C1A-Madison Prep'!N11</f>
        <v>1751</v>
      </c>
      <c r="O11" s="987">
        <f t="shared" si="9"/>
        <v>0</v>
      </c>
      <c r="P11" s="1030">
        <f t="shared" si="10"/>
        <v>0</v>
      </c>
      <c r="Q11" s="987">
        <f t="shared" si="11"/>
        <v>0</v>
      </c>
      <c r="R11" s="987">
        <v>0</v>
      </c>
      <c r="S11" s="987">
        <f t="shared" si="12"/>
        <v>0</v>
      </c>
      <c r="T11" s="987">
        <f t="shared" si="13"/>
        <v>0</v>
      </c>
      <c r="U11" s="988">
        <f t="shared" si="14"/>
        <v>0</v>
      </c>
      <c r="V11" s="988">
        <f t="shared" si="14"/>
        <v>0</v>
      </c>
    </row>
    <row r="12" spans="1:22">
      <c r="A12" s="953">
        <v>6</v>
      </c>
      <c r="B12" s="954" t="s">
        <v>98</v>
      </c>
      <c r="C12" s="1080">
        <v>0</v>
      </c>
      <c r="D12" s="956">
        <f>'Table 3 Levels 1&amp;2'!AL13</f>
        <v>5412.7883404260592</v>
      </c>
      <c r="E12" s="1010">
        <f t="shared" si="2"/>
        <v>0</v>
      </c>
      <c r="F12" s="1010">
        <f>'Table 4 Level 3'!P11</f>
        <v>545.4799999999999</v>
      </c>
      <c r="G12" s="1010">
        <f t="shared" si="3"/>
        <v>0</v>
      </c>
      <c r="H12" s="957">
        <f t="shared" si="4"/>
        <v>0</v>
      </c>
      <c r="I12" s="1020">
        <f t="shared" si="5"/>
        <v>0</v>
      </c>
      <c r="J12" s="957">
        <f t="shared" si="6"/>
        <v>0</v>
      </c>
      <c r="K12" s="957">
        <v>0</v>
      </c>
      <c r="L12" s="957">
        <f t="shared" si="7"/>
        <v>0</v>
      </c>
      <c r="M12" s="957">
        <f t="shared" si="8"/>
        <v>0</v>
      </c>
      <c r="N12" s="981">
        <f>'Table 5C1A-Madison Prep'!N12</f>
        <v>3735</v>
      </c>
      <c r="O12" s="958">
        <f t="shared" si="9"/>
        <v>0</v>
      </c>
      <c r="P12" s="1028">
        <f t="shared" si="10"/>
        <v>0</v>
      </c>
      <c r="Q12" s="958">
        <f t="shared" si="11"/>
        <v>0</v>
      </c>
      <c r="R12" s="958">
        <v>0</v>
      </c>
      <c r="S12" s="958">
        <f t="shared" si="12"/>
        <v>0</v>
      </c>
      <c r="T12" s="958">
        <f t="shared" si="13"/>
        <v>0</v>
      </c>
      <c r="U12" s="959">
        <f t="shared" si="14"/>
        <v>0</v>
      </c>
      <c r="V12" s="959">
        <f t="shared" si="14"/>
        <v>0</v>
      </c>
    </row>
    <row r="13" spans="1:22">
      <c r="A13" s="960">
        <v>7</v>
      </c>
      <c r="B13" s="961" t="s">
        <v>99</v>
      </c>
      <c r="C13" s="1078">
        <v>0</v>
      </c>
      <c r="D13" s="962">
        <f>'Table 3 Levels 1&amp;2'!AL14</f>
        <v>1766.1023604176123</v>
      </c>
      <c r="E13" s="1011">
        <f t="shared" si="2"/>
        <v>0</v>
      </c>
      <c r="F13" s="1011">
        <f>'Table 4 Level 3'!P12</f>
        <v>756.91999999999985</v>
      </c>
      <c r="G13" s="1011">
        <f t="shared" si="3"/>
        <v>0</v>
      </c>
      <c r="H13" s="982">
        <f t="shared" si="4"/>
        <v>0</v>
      </c>
      <c r="I13" s="1021">
        <f t="shared" si="5"/>
        <v>0</v>
      </c>
      <c r="J13" s="982">
        <f t="shared" si="6"/>
        <v>0</v>
      </c>
      <c r="K13" s="982">
        <v>0</v>
      </c>
      <c r="L13" s="982">
        <f t="shared" si="7"/>
        <v>0</v>
      </c>
      <c r="M13" s="982">
        <f t="shared" si="8"/>
        <v>0</v>
      </c>
      <c r="N13" s="981">
        <f>'Table 5C1A-Madison Prep'!N13</f>
        <v>11329</v>
      </c>
      <c r="O13" s="983">
        <f t="shared" si="9"/>
        <v>0</v>
      </c>
      <c r="P13" s="1029">
        <f t="shared" si="10"/>
        <v>0</v>
      </c>
      <c r="Q13" s="983">
        <f t="shared" si="11"/>
        <v>0</v>
      </c>
      <c r="R13" s="983">
        <v>0</v>
      </c>
      <c r="S13" s="983">
        <f t="shared" si="12"/>
        <v>0</v>
      </c>
      <c r="T13" s="983">
        <f t="shared" si="13"/>
        <v>0</v>
      </c>
      <c r="U13" s="984">
        <f t="shared" si="14"/>
        <v>0</v>
      </c>
      <c r="V13" s="984">
        <f t="shared" si="14"/>
        <v>0</v>
      </c>
    </row>
    <row r="14" spans="1:22">
      <c r="A14" s="960">
        <v>8</v>
      </c>
      <c r="B14" s="961" t="s">
        <v>100</v>
      </c>
      <c r="C14" s="1078">
        <v>0</v>
      </c>
      <c r="D14" s="962">
        <f>'Table 3 Levels 1&amp;2'!AL15</f>
        <v>4289.5073606712331</v>
      </c>
      <c r="E14" s="1011">
        <f t="shared" si="2"/>
        <v>0</v>
      </c>
      <c r="F14" s="1011">
        <f>'Table 4 Level 3'!P13</f>
        <v>725.76</v>
      </c>
      <c r="G14" s="1011">
        <f t="shared" si="3"/>
        <v>0</v>
      </c>
      <c r="H14" s="982">
        <f t="shared" si="4"/>
        <v>0</v>
      </c>
      <c r="I14" s="1021">
        <f t="shared" si="5"/>
        <v>0</v>
      </c>
      <c r="J14" s="982">
        <f t="shared" si="6"/>
        <v>0</v>
      </c>
      <c r="K14" s="982">
        <v>0</v>
      </c>
      <c r="L14" s="982">
        <f t="shared" si="7"/>
        <v>0</v>
      </c>
      <c r="M14" s="982">
        <f t="shared" si="8"/>
        <v>0</v>
      </c>
      <c r="N14" s="981">
        <f>'Table 5C1A-Madison Prep'!N14</f>
        <v>3915</v>
      </c>
      <c r="O14" s="983">
        <f t="shared" si="9"/>
        <v>0</v>
      </c>
      <c r="P14" s="1029">
        <f t="shared" si="10"/>
        <v>0</v>
      </c>
      <c r="Q14" s="983">
        <f t="shared" si="11"/>
        <v>0</v>
      </c>
      <c r="R14" s="983">
        <v>0</v>
      </c>
      <c r="S14" s="983">
        <f t="shared" si="12"/>
        <v>0</v>
      </c>
      <c r="T14" s="983">
        <f t="shared" si="13"/>
        <v>0</v>
      </c>
      <c r="U14" s="984">
        <f t="shared" si="14"/>
        <v>0</v>
      </c>
      <c r="V14" s="984">
        <f t="shared" si="14"/>
        <v>0</v>
      </c>
    </row>
    <row r="15" spans="1:22">
      <c r="A15" s="960">
        <v>9</v>
      </c>
      <c r="B15" s="961" t="s">
        <v>101</v>
      </c>
      <c r="C15" s="1078">
        <v>0</v>
      </c>
      <c r="D15" s="962">
        <f>'Table 3 Levels 1&amp;2'!AL16</f>
        <v>4395.6154516889328</v>
      </c>
      <c r="E15" s="1011">
        <f t="shared" si="2"/>
        <v>0</v>
      </c>
      <c r="F15" s="1011">
        <f>'Table 4 Level 3'!P14</f>
        <v>744.76</v>
      </c>
      <c r="G15" s="1011">
        <f t="shared" si="3"/>
        <v>0</v>
      </c>
      <c r="H15" s="982">
        <f t="shared" si="4"/>
        <v>0</v>
      </c>
      <c r="I15" s="1021">
        <f t="shared" si="5"/>
        <v>0</v>
      </c>
      <c r="J15" s="982">
        <f t="shared" si="6"/>
        <v>0</v>
      </c>
      <c r="K15" s="982">
        <v>0</v>
      </c>
      <c r="L15" s="982">
        <f t="shared" si="7"/>
        <v>0</v>
      </c>
      <c r="M15" s="982">
        <f t="shared" si="8"/>
        <v>0</v>
      </c>
      <c r="N15" s="981">
        <f>'Table 5C1A-Madison Prep'!N15</f>
        <v>4627</v>
      </c>
      <c r="O15" s="983">
        <f t="shared" si="9"/>
        <v>0</v>
      </c>
      <c r="P15" s="1029">
        <f t="shared" si="10"/>
        <v>0</v>
      </c>
      <c r="Q15" s="983">
        <f t="shared" si="11"/>
        <v>0</v>
      </c>
      <c r="R15" s="983">
        <v>0</v>
      </c>
      <c r="S15" s="983">
        <f t="shared" si="12"/>
        <v>0</v>
      </c>
      <c r="T15" s="983">
        <f t="shared" si="13"/>
        <v>0</v>
      </c>
      <c r="U15" s="984">
        <f t="shared" si="14"/>
        <v>0</v>
      </c>
      <c r="V15" s="984">
        <f t="shared" si="14"/>
        <v>0</v>
      </c>
    </row>
    <row r="16" spans="1:22">
      <c r="A16" s="963">
        <v>10</v>
      </c>
      <c r="B16" s="964" t="s">
        <v>102</v>
      </c>
      <c r="C16" s="1079">
        <v>0</v>
      </c>
      <c r="D16" s="965">
        <f>'Table 3 Levels 1&amp;2'!AL17</f>
        <v>4253.5980618992444</v>
      </c>
      <c r="E16" s="1012">
        <f t="shared" si="2"/>
        <v>0</v>
      </c>
      <c r="F16" s="1012">
        <f>'Table 4 Level 3'!P15</f>
        <v>608.04000000000008</v>
      </c>
      <c r="G16" s="1012">
        <f t="shared" si="3"/>
        <v>0</v>
      </c>
      <c r="H16" s="985">
        <f t="shared" si="4"/>
        <v>0</v>
      </c>
      <c r="I16" s="1022">
        <f t="shared" si="5"/>
        <v>0</v>
      </c>
      <c r="J16" s="985">
        <f t="shared" si="6"/>
        <v>0</v>
      </c>
      <c r="K16" s="985">
        <v>0</v>
      </c>
      <c r="L16" s="985">
        <f t="shared" si="7"/>
        <v>0</v>
      </c>
      <c r="M16" s="985">
        <f t="shared" si="8"/>
        <v>0</v>
      </c>
      <c r="N16" s="986">
        <f>'Table 5C1A-Madison Prep'!N16</f>
        <v>4489</v>
      </c>
      <c r="O16" s="987">
        <f t="shared" si="9"/>
        <v>0</v>
      </c>
      <c r="P16" s="1030">
        <f t="shared" si="10"/>
        <v>0</v>
      </c>
      <c r="Q16" s="987">
        <f t="shared" si="11"/>
        <v>0</v>
      </c>
      <c r="R16" s="987">
        <v>0</v>
      </c>
      <c r="S16" s="987">
        <f t="shared" si="12"/>
        <v>0</v>
      </c>
      <c r="T16" s="987">
        <f t="shared" si="13"/>
        <v>0</v>
      </c>
      <c r="U16" s="988">
        <f t="shared" si="14"/>
        <v>0</v>
      </c>
      <c r="V16" s="988">
        <f t="shared" si="14"/>
        <v>0</v>
      </c>
    </row>
    <row r="17" spans="1:22">
      <c r="A17" s="953">
        <v>11</v>
      </c>
      <c r="B17" s="954" t="s">
        <v>103</v>
      </c>
      <c r="C17" s="1080">
        <v>0</v>
      </c>
      <c r="D17" s="956">
        <f>'Table 3 Levels 1&amp;2'!AL18</f>
        <v>6852.9138435383502</v>
      </c>
      <c r="E17" s="1010">
        <f t="shared" si="2"/>
        <v>0</v>
      </c>
      <c r="F17" s="1010">
        <f>'Table 4 Level 3'!P16</f>
        <v>706.55</v>
      </c>
      <c r="G17" s="1010">
        <f t="shared" si="3"/>
        <v>0</v>
      </c>
      <c r="H17" s="957">
        <f t="shared" si="4"/>
        <v>0</v>
      </c>
      <c r="I17" s="1020">
        <f t="shared" si="5"/>
        <v>0</v>
      </c>
      <c r="J17" s="957">
        <f t="shared" si="6"/>
        <v>0</v>
      </c>
      <c r="K17" s="957">
        <v>0</v>
      </c>
      <c r="L17" s="957">
        <f t="shared" si="7"/>
        <v>0</v>
      </c>
      <c r="M17" s="957">
        <f t="shared" si="8"/>
        <v>0</v>
      </c>
      <c r="N17" s="981">
        <f>'Table 5C1A-Madison Prep'!N17</f>
        <v>3654</v>
      </c>
      <c r="O17" s="958">
        <f t="shared" si="9"/>
        <v>0</v>
      </c>
      <c r="P17" s="1028">
        <f t="shared" si="10"/>
        <v>0</v>
      </c>
      <c r="Q17" s="958">
        <f t="shared" si="11"/>
        <v>0</v>
      </c>
      <c r="R17" s="958">
        <v>0</v>
      </c>
      <c r="S17" s="958">
        <f t="shared" si="12"/>
        <v>0</v>
      </c>
      <c r="T17" s="958">
        <f t="shared" si="13"/>
        <v>0</v>
      </c>
      <c r="U17" s="959">
        <f t="shared" si="14"/>
        <v>0</v>
      </c>
      <c r="V17" s="959">
        <f t="shared" si="14"/>
        <v>0</v>
      </c>
    </row>
    <row r="18" spans="1:22">
      <c r="A18" s="960">
        <v>12</v>
      </c>
      <c r="B18" s="961" t="s">
        <v>104</v>
      </c>
      <c r="C18" s="1078">
        <v>0</v>
      </c>
      <c r="D18" s="962">
        <f>'Table 3 Levels 1&amp;2'!AL19</f>
        <v>1733.9056059356967</v>
      </c>
      <c r="E18" s="1011">
        <f t="shared" si="2"/>
        <v>0</v>
      </c>
      <c r="F18" s="1011">
        <f>'Table 4 Level 3'!P17</f>
        <v>1063.31</v>
      </c>
      <c r="G18" s="1011">
        <f t="shared" si="3"/>
        <v>0</v>
      </c>
      <c r="H18" s="982">
        <f t="shared" si="4"/>
        <v>0</v>
      </c>
      <c r="I18" s="1021">
        <f t="shared" si="5"/>
        <v>0</v>
      </c>
      <c r="J18" s="982">
        <f t="shared" si="6"/>
        <v>0</v>
      </c>
      <c r="K18" s="982">
        <v>0</v>
      </c>
      <c r="L18" s="982">
        <f t="shared" si="7"/>
        <v>0</v>
      </c>
      <c r="M18" s="982">
        <f t="shared" si="8"/>
        <v>0</v>
      </c>
      <c r="N18" s="981">
        <f>'Table 5C1A-Madison Prep'!N18</f>
        <v>13767</v>
      </c>
      <c r="O18" s="983">
        <f t="shared" si="9"/>
        <v>0</v>
      </c>
      <c r="P18" s="1029">
        <f t="shared" si="10"/>
        <v>0</v>
      </c>
      <c r="Q18" s="983">
        <f t="shared" si="11"/>
        <v>0</v>
      </c>
      <c r="R18" s="983">
        <v>0</v>
      </c>
      <c r="S18" s="983">
        <f t="shared" si="12"/>
        <v>0</v>
      </c>
      <c r="T18" s="983">
        <f t="shared" si="13"/>
        <v>0</v>
      </c>
      <c r="U18" s="984">
        <f t="shared" si="14"/>
        <v>0</v>
      </c>
      <c r="V18" s="984">
        <f t="shared" si="14"/>
        <v>0</v>
      </c>
    </row>
    <row r="19" spans="1:22">
      <c r="A19" s="960">
        <v>13</v>
      </c>
      <c r="B19" s="961" t="s">
        <v>105</v>
      </c>
      <c r="C19" s="1078">
        <v>0</v>
      </c>
      <c r="D19" s="962">
        <f>'Table 3 Levels 1&amp;2'!AL20</f>
        <v>6254.1238637730876</v>
      </c>
      <c r="E19" s="1011">
        <f t="shared" si="2"/>
        <v>0</v>
      </c>
      <c r="F19" s="1011">
        <f>'Table 4 Level 3'!P18</f>
        <v>749.43000000000006</v>
      </c>
      <c r="G19" s="1011">
        <f t="shared" si="3"/>
        <v>0</v>
      </c>
      <c r="H19" s="982">
        <f t="shared" si="4"/>
        <v>0</v>
      </c>
      <c r="I19" s="1021">
        <f t="shared" si="5"/>
        <v>0</v>
      </c>
      <c r="J19" s="982">
        <f t="shared" si="6"/>
        <v>0</v>
      </c>
      <c r="K19" s="982">
        <v>0</v>
      </c>
      <c r="L19" s="982">
        <f t="shared" si="7"/>
        <v>0</v>
      </c>
      <c r="M19" s="982">
        <f t="shared" si="8"/>
        <v>0</v>
      </c>
      <c r="N19" s="981">
        <f>'Table 5C1A-Madison Prep'!N19</f>
        <v>2525</v>
      </c>
      <c r="O19" s="983">
        <f t="shared" si="9"/>
        <v>0</v>
      </c>
      <c r="P19" s="1029">
        <f t="shared" si="10"/>
        <v>0</v>
      </c>
      <c r="Q19" s="983">
        <f t="shared" si="11"/>
        <v>0</v>
      </c>
      <c r="R19" s="983">
        <v>0</v>
      </c>
      <c r="S19" s="983">
        <f t="shared" si="12"/>
        <v>0</v>
      </c>
      <c r="T19" s="983">
        <f t="shared" si="13"/>
        <v>0</v>
      </c>
      <c r="U19" s="984">
        <f t="shared" si="14"/>
        <v>0</v>
      </c>
      <c r="V19" s="984">
        <f t="shared" si="14"/>
        <v>0</v>
      </c>
    </row>
    <row r="20" spans="1:22">
      <c r="A20" s="960">
        <v>14</v>
      </c>
      <c r="B20" s="961" t="s">
        <v>106</v>
      </c>
      <c r="C20" s="1078">
        <v>0</v>
      </c>
      <c r="D20" s="962">
        <f>'Table 3 Levels 1&amp;2'!AL21</f>
        <v>5377.9187438545459</v>
      </c>
      <c r="E20" s="1011">
        <f t="shared" si="2"/>
        <v>0</v>
      </c>
      <c r="F20" s="1011">
        <f>'Table 4 Level 3'!P19</f>
        <v>809.9799999999999</v>
      </c>
      <c r="G20" s="1011">
        <f t="shared" si="3"/>
        <v>0</v>
      </c>
      <c r="H20" s="982">
        <f t="shared" si="4"/>
        <v>0</v>
      </c>
      <c r="I20" s="1021">
        <f t="shared" si="5"/>
        <v>0</v>
      </c>
      <c r="J20" s="982">
        <f t="shared" si="6"/>
        <v>0</v>
      </c>
      <c r="K20" s="982">
        <v>0</v>
      </c>
      <c r="L20" s="982">
        <f t="shared" si="7"/>
        <v>0</v>
      </c>
      <c r="M20" s="982">
        <f t="shared" si="8"/>
        <v>0</v>
      </c>
      <c r="N20" s="981">
        <f>'Table 5C1A-Madison Prep'!N20</f>
        <v>3988</v>
      </c>
      <c r="O20" s="983">
        <f t="shared" si="9"/>
        <v>0</v>
      </c>
      <c r="P20" s="1029">
        <f t="shared" si="10"/>
        <v>0</v>
      </c>
      <c r="Q20" s="983">
        <f t="shared" si="11"/>
        <v>0</v>
      </c>
      <c r="R20" s="983">
        <v>0</v>
      </c>
      <c r="S20" s="983">
        <f t="shared" si="12"/>
        <v>0</v>
      </c>
      <c r="T20" s="983">
        <f t="shared" si="13"/>
        <v>0</v>
      </c>
      <c r="U20" s="984">
        <f t="shared" si="14"/>
        <v>0</v>
      </c>
      <c r="V20" s="984">
        <f t="shared" si="14"/>
        <v>0</v>
      </c>
    </row>
    <row r="21" spans="1:22">
      <c r="A21" s="963">
        <v>15</v>
      </c>
      <c r="B21" s="964" t="s">
        <v>107</v>
      </c>
      <c r="C21" s="1079">
        <v>0</v>
      </c>
      <c r="D21" s="965">
        <f>'Table 3 Levels 1&amp;2'!AL22</f>
        <v>5527.7651197617861</v>
      </c>
      <c r="E21" s="1012">
        <f t="shared" si="2"/>
        <v>0</v>
      </c>
      <c r="F21" s="1012">
        <f>'Table 4 Level 3'!P20</f>
        <v>553.79999999999995</v>
      </c>
      <c r="G21" s="1012">
        <f t="shared" si="3"/>
        <v>0</v>
      </c>
      <c r="H21" s="985">
        <f t="shared" si="4"/>
        <v>0</v>
      </c>
      <c r="I21" s="1022">
        <f t="shared" si="5"/>
        <v>0</v>
      </c>
      <c r="J21" s="985">
        <f t="shared" si="6"/>
        <v>0</v>
      </c>
      <c r="K21" s="985">
        <v>0</v>
      </c>
      <c r="L21" s="985">
        <f t="shared" si="7"/>
        <v>0</v>
      </c>
      <c r="M21" s="985">
        <f t="shared" si="8"/>
        <v>0</v>
      </c>
      <c r="N21" s="986">
        <f>'Table 5C1A-Madison Prep'!N21</f>
        <v>2544</v>
      </c>
      <c r="O21" s="987">
        <f t="shared" si="9"/>
        <v>0</v>
      </c>
      <c r="P21" s="1030">
        <f t="shared" si="10"/>
        <v>0</v>
      </c>
      <c r="Q21" s="987">
        <f t="shared" si="11"/>
        <v>0</v>
      </c>
      <c r="R21" s="987">
        <v>0</v>
      </c>
      <c r="S21" s="987">
        <f t="shared" si="12"/>
        <v>0</v>
      </c>
      <c r="T21" s="987">
        <f t="shared" si="13"/>
        <v>0</v>
      </c>
      <c r="U21" s="988">
        <f t="shared" si="14"/>
        <v>0</v>
      </c>
      <c r="V21" s="988">
        <f t="shared" si="14"/>
        <v>0</v>
      </c>
    </row>
    <row r="22" spans="1:22">
      <c r="A22" s="953">
        <v>16</v>
      </c>
      <c r="B22" s="954" t="s">
        <v>108</v>
      </c>
      <c r="C22" s="1080">
        <v>0</v>
      </c>
      <c r="D22" s="956">
        <f>'Table 3 Levels 1&amp;2'!AL23</f>
        <v>1530.3678845377474</v>
      </c>
      <c r="E22" s="1010">
        <f t="shared" si="2"/>
        <v>0</v>
      </c>
      <c r="F22" s="1010">
        <f>'Table 4 Level 3'!P21</f>
        <v>686.73</v>
      </c>
      <c r="G22" s="1010">
        <f t="shared" si="3"/>
        <v>0</v>
      </c>
      <c r="H22" s="957">
        <f t="shared" si="4"/>
        <v>0</v>
      </c>
      <c r="I22" s="1020">
        <f t="shared" si="5"/>
        <v>0</v>
      </c>
      <c r="J22" s="957">
        <f t="shared" si="6"/>
        <v>0</v>
      </c>
      <c r="K22" s="957">
        <v>0</v>
      </c>
      <c r="L22" s="957">
        <f t="shared" si="7"/>
        <v>0</v>
      </c>
      <c r="M22" s="957">
        <f t="shared" si="8"/>
        <v>0</v>
      </c>
      <c r="N22" s="981">
        <f>'Table 5C1A-Madison Prep'!N22</f>
        <v>12132</v>
      </c>
      <c r="O22" s="958">
        <f t="shared" si="9"/>
        <v>0</v>
      </c>
      <c r="P22" s="1028">
        <f t="shared" si="10"/>
        <v>0</v>
      </c>
      <c r="Q22" s="958">
        <f t="shared" si="11"/>
        <v>0</v>
      </c>
      <c r="R22" s="958">
        <v>0</v>
      </c>
      <c r="S22" s="958">
        <f t="shared" si="12"/>
        <v>0</v>
      </c>
      <c r="T22" s="958">
        <f t="shared" si="13"/>
        <v>0</v>
      </c>
      <c r="U22" s="959">
        <f t="shared" si="14"/>
        <v>0</v>
      </c>
      <c r="V22" s="959">
        <f t="shared" si="14"/>
        <v>0</v>
      </c>
    </row>
    <row r="23" spans="1:22">
      <c r="A23" s="960">
        <v>17</v>
      </c>
      <c r="B23" s="961" t="s">
        <v>109</v>
      </c>
      <c r="C23" s="1078">
        <f>ROUND(138*80%,0)</f>
        <v>110</v>
      </c>
      <c r="D23" s="962">
        <f>'Table 3 Levels 1&amp;2'!AL24</f>
        <v>3313.0666313017805</v>
      </c>
      <c r="E23" s="1011">
        <f t="shared" si="2"/>
        <v>364437.32944319583</v>
      </c>
      <c r="F23" s="1011">
        <f>'Table 4 Level 3'!P22</f>
        <v>801.47762416806802</v>
      </c>
      <c r="G23" s="1011">
        <f t="shared" si="3"/>
        <v>88162.53865848748</v>
      </c>
      <c r="H23" s="982">
        <f t="shared" si="4"/>
        <v>452599.86810168333</v>
      </c>
      <c r="I23" s="1021">
        <f t="shared" si="5"/>
        <v>-1131.4996702542082</v>
      </c>
      <c r="J23" s="982">
        <f t="shared" si="6"/>
        <v>451468.36843142915</v>
      </c>
      <c r="K23" s="982">
        <v>0</v>
      </c>
      <c r="L23" s="982">
        <f t="shared" si="7"/>
        <v>451468.36843142915</v>
      </c>
      <c r="M23" s="982">
        <f t="shared" si="8"/>
        <v>37622.364035952429</v>
      </c>
      <c r="N23" s="981">
        <f>'Table 5C1A-Madison Prep'!N23</f>
        <v>6764</v>
      </c>
      <c r="O23" s="983">
        <f t="shared" si="9"/>
        <v>744040</v>
      </c>
      <c r="P23" s="1029">
        <f t="shared" si="10"/>
        <v>-1860.1000000000001</v>
      </c>
      <c r="Q23" s="983">
        <f t="shared" si="11"/>
        <v>742179.9</v>
      </c>
      <c r="R23" s="983">
        <v>0</v>
      </c>
      <c r="S23" s="983">
        <f t="shared" si="12"/>
        <v>742179.9</v>
      </c>
      <c r="T23" s="983">
        <f t="shared" si="13"/>
        <v>61848.325000000004</v>
      </c>
      <c r="U23" s="984">
        <f t="shared" si="14"/>
        <v>1193648.2684314293</v>
      </c>
      <c r="V23" s="984">
        <f t="shared" si="14"/>
        <v>99470.68903595244</v>
      </c>
    </row>
    <row r="24" spans="1:22">
      <c r="A24" s="960">
        <v>18</v>
      </c>
      <c r="B24" s="961" t="s">
        <v>110</v>
      </c>
      <c r="C24" s="1078">
        <v>0</v>
      </c>
      <c r="D24" s="962">
        <f>'Table 3 Levels 1&amp;2'!AL25</f>
        <v>5989.1351892854573</v>
      </c>
      <c r="E24" s="1011">
        <f t="shared" si="2"/>
        <v>0</v>
      </c>
      <c r="F24" s="1011">
        <f>'Table 4 Level 3'!P23</f>
        <v>845.94999999999993</v>
      </c>
      <c r="G24" s="1011">
        <f t="shared" si="3"/>
        <v>0</v>
      </c>
      <c r="H24" s="982">
        <f t="shared" si="4"/>
        <v>0</v>
      </c>
      <c r="I24" s="1021">
        <f t="shared" si="5"/>
        <v>0</v>
      </c>
      <c r="J24" s="982">
        <f t="shared" si="6"/>
        <v>0</v>
      </c>
      <c r="K24" s="982">
        <v>0</v>
      </c>
      <c r="L24" s="982">
        <f t="shared" si="7"/>
        <v>0</v>
      </c>
      <c r="M24" s="982">
        <f t="shared" si="8"/>
        <v>0</v>
      </c>
      <c r="N24" s="981">
        <f>'Table 5C1A-Madison Prep'!N24</f>
        <v>2925</v>
      </c>
      <c r="O24" s="983">
        <f t="shared" si="9"/>
        <v>0</v>
      </c>
      <c r="P24" s="1029">
        <f t="shared" si="10"/>
        <v>0</v>
      </c>
      <c r="Q24" s="983">
        <f t="shared" si="11"/>
        <v>0</v>
      </c>
      <c r="R24" s="983">
        <v>0</v>
      </c>
      <c r="S24" s="983">
        <f t="shared" si="12"/>
        <v>0</v>
      </c>
      <c r="T24" s="983">
        <f t="shared" si="13"/>
        <v>0</v>
      </c>
      <c r="U24" s="984">
        <f t="shared" si="14"/>
        <v>0</v>
      </c>
      <c r="V24" s="984">
        <f t="shared" si="14"/>
        <v>0</v>
      </c>
    </row>
    <row r="25" spans="1:22">
      <c r="A25" s="960">
        <v>19</v>
      </c>
      <c r="B25" s="961" t="s">
        <v>111</v>
      </c>
      <c r="C25" s="1078">
        <v>0</v>
      </c>
      <c r="D25" s="962">
        <f>'Table 3 Levels 1&amp;2'!AL26</f>
        <v>5315.8913399708035</v>
      </c>
      <c r="E25" s="1011">
        <f t="shared" si="2"/>
        <v>0</v>
      </c>
      <c r="F25" s="1011">
        <f>'Table 4 Level 3'!P24</f>
        <v>905.43</v>
      </c>
      <c r="G25" s="1011">
        <f t="shared" si="3"/>
        <v>0</v>
      </c>
      <c r="H25" s="982">
        <f t="shared" si="4"/>
        <v>0</v>
      </c>
      <c r="I25" s="1021">
        <f t="shared" si="5"/>
        <v>0</v>
      </c>
      <c r="J25" s="982">
        <f t="shared" si="6"/>
        <v>0</v>
      </c>
      <c r="K25" s="982">
        <v>0</v>
      </c>
      <c r="L25" s="982">
        <f t="shared" si="7"/>
        <v>0</v>
      </c>
      <c r="M25" s="982">
        <f t="shared" si="8"/>
        <v>0</v>
      </c>
      <c r="N25" s="981">
        <f>'Table 5C1A-Madison Prep'!N25</f>
        <v>2570</v>
      </c>
      <c r="O25" s="983">
        <f t="shared" si="9"/>
        <v>0</v>
      </c>
      <c r="P25" s="1029">
        <f t="shared" si="10"/>
        <v>0</v>
      </c>
      <c r="Q25" s="983">
        <f t="shared" si="11"/>
        <v>0</v>
      </c>
      <c r="R25" s="983">
        <v>0</v>
      </c>
      <c r="S25" s="983">
        <f t="shared" si="12"/>
        <v>0</v>
      </c>
      <c r="T25" s="983">
        <f t="shared" si="13"/>
        <v>0</v>
      </c>
      <c r="U25" s="984">
        <f t="shared" si="14"/>
        <v>0</v>
      </c>
      <c r="V25" s="984">
        <f t="shared" si="14"/>
        <v>0</v>
      </c>
    </row>
    <row r="26" spans="1:22">
      <c r="A26" s="963">
        <v>20</v>
      </c>
      <c r="B26" s="964" t="s">
        <v>112</v>
      </c>
      <c r="C26" s="1079">
        <v>0</v>
      </c>
      <c r="D26" s="965">
        <f>'Table 3 Levels 1&amp;2'!AL27</f>
        <v>5420.2042919205833</v>
      </c>
      <c r="E26" s="1012">
        <f t="shared" si="2"/>
        <v>0</v>
      </c>
      <c r="F26" s="1012">
        <f>'Table 4 Level 3'!P25</f>
        <v>586.16999999999996</v>
      </c>
      <c r="G26" s="1012">
        <f t="shared" si="3"/>
        <v>0</v>
      </c>
      <c r="H26" s="985">
        <f t="shared" si="4"/>
        <v>0</v>
      </c>
      <c r="I26" s="1022">
        <f t="shared" si="5"/>
        <v>0</v>
      </c>
      <c r="J26" s="985">
        <f t="shared" si="6"/>
        <v>0</v>
      </c>
      <c r="K26" s="985">
        <v>0</v>
      </c>
      <c r="L26" s="985">
        <f t="shared" si="7"/>
        <v>0</v>
      </c>
      <c r="M26" s="985">
        <f t="shared" si="8"/>
        <v>0</v>
      </c>
      <c r="N26" s="986">
        <f>'Table 5C1A-Madison Prep'!N26</f>
        <v>2420</v>
      </c>
      <c r="O26" s="987">
        <f t="shared" si="9"/>
        <v>0</v>
      </c>
      <c r="P26" s="1030">
        <f t="shared" si="10"/>
        <v>0</v>
      </c>
      <c r="Q26" s="987">
        <f t="shared" si="11"/>
        <v>0</v>
      </c>
      <c r="R26" s="987">
        <v>0</v>
      </c>
      <c r="S26" s="987">
        <f t="shared" si="12"/>
        <v>0</v>
      </c>
      <c r="T26" s="987">
        <f t="shared" si="13"/>
        <v>0</v>
      </c>
      <c r="U26" s="988">
        <f t="shared" si="14"/>
        <v>0</v>
      </c>
      <c r="V26" s="988">
        <f t="shared" si="14"/>
        <v>0</v>
      </c>
    </row>
    <row r="27" spans="1:22">
      <c r="A27" s="953">
        <v>21</v>
      </c>
      <c r="B27" s="954" t="s">
        <v>113</v>
      </c>
      <c r="C27" s="1080">
        <v>0</v>
      </c>
      <c r="D27" s="956">
        <f>'Table 3 Levels 1&amp;2'!AL28</f>
        <v>5724.5404916279067</v>
      </c>
      <c r="E27" s="1010">
        <f t="shared" si="2"/>
        <v>0</v>
      </c>
      <c r="F27" s="1010">
        <f>'Table 4 Level 3'!P26</f>
        <v>610.35</v>
      </c>
      <c r="G27" s="1010">
        <f t="shared" si="3"/>
        <v>0</v>
      </c>
      <c r="H27" s="957">
        <f t="shared" si="4"/>
        <v>0</v>
      </c>
      <c r="I27" s="1020">
        <f t="shared" si="5"/>
        <v>0</v>
      </c>
      <c r="J27" s="957">
        <f t="shared" si="6"/>
        <v>0</v>
      </c>
      <c r="K27" s="957">
        <v>0</v>
      </c>
      <c r="L27" s="957">
        <f t="shared" si="7"/>
        <v>0</v>
      </c>
      <c r="M27" s="957">
        <f t="shared" si="8"/>
        <v>0</v>
      </c>
      <c r="N27" s="981">
        <f>'Table 5C1A-Madison Prep'!N27</f>
        <v>2265</v>
      </c>
      <c r="O27" s="958">
        <f t="shared" si="9"/>
        <v>0</v>
      </c>
      <c r="P27" s="1028">
        <f t="shared" si="10"/>
        <v>0</v>
      </c>
      <c r="Q27" s="958">
        <f t="shared" si="11"/>
        <v>0</v>
      </c>
      <c r="R27" s="958">
        <v>0</v>
      </c>
      <c r="S27" s="958">
        <f t="shared" si="12"/>
        <v>0</v>
      </c>
      <c r="T27" s="958">
        <f t="shared" si="13"/>
        <v>0</v>
      </c>
      <c r="U27" s="959">
        <f t="shared" si="14"/>
        <v>0</v>
      </c>
      <c r="V27" s="959">
        <f t="shared" si="14"/>
        <v>0</v>
      </c>
    </row>
    <row r="28" spans="1:22">
      <c r="A28" s="960">
        <v>22</v>
      </c>
      <c r="B28" s="961" t="s">
        <v>114</v>
      </c>
      <c r="C28" s="1078">
        <v>0</v>
      </c>
      <c r="D28" s="962">
        <f>'Table 3 Levels 1&amp;2'!AL29</f>
        <v>6203.2933768722742</v>
      </c>
      <c r="E28" s="1011">
        <f t="shared" si="2"/>
        <v>0</v>
      </c>
      <c r="F28" s="1011">
        <f>'Table 4 Level 3'!P27</f>
        <v>496.36</v>
      </c>
      <c r="G28" s="1011">
        <f t="shared" si="3"/>
        <v>0</v>
      </c>
      <c r="H28" s="982">
        <f t="shared" si="4"/>
        <v>0</v>
      </c>
      <c r="I28" s="1021">
        <f t="shared" si="5"/>
        <v>0</v>
      </c>
      <c r="J28" s="982">
        <f t="shared" si="6"/>
        <v>0</v>
      </c>
      <c r="K28" s="982">
        <v>0</v>
      </c>
      <c r="L28" s="982">
        <f t="shared" si="7"/>
        <v>0</v>
      </c>
      <c r="M28" s="982">
        <f t="shared" si="8"/>
        <v>0</v>
      </c>
      <c r="N28" s="981">
        <f>'Table 5C1A-Madison Prep'!N28</f>
        <v>1438</v>
      </c>
      <c r="O28" s="983">
        <f t="shared" si="9"/>
        <v>0</v>
      </c>
      <c r="P28" s="1029">
        <f t="shared" si="10"/>
        <v>0</v>
      </c>
      <c r="Q28" s="983">
        <f t="shared" si="11"/>
        <v>0</v>
      </c>
      <c r="R28" s="983">
        <v>0</v>
      </c>
      <c r="S28" s="983">
        <f t="shared" si="12"/>
        <v>0</v>
      </c>
      <c r="T28" s="983">
        <f t="shared" si="13"/>
        <v>0</v>
      </c>
      <c r="U28" s="984">
        <f t="shared" si="14"/>
        <v>0</v>
      </c>
      <c r="V28" s="984">
        <f t="shared" si="14"/>
        <v>0</v>
      </c>
    </row>
    <row r="29" spans="1:22">
      <c r="A29" s="960">
        <v>23</v>
      </c>
      <c r="B29" s="961" t="s">
        <v>115</v>
      </c>
      <c r="C29" s="1078">
        <v>0</v>
      </c>
      <c r="D29" s="962">
        <f>'Table 3 Levels 1&amp;2'!AL30</f>
        <v>4846.0802490067681</v>
      </c>
      <c r="E29" s="1011">
        <f t="shared" si="2"/>
        <v>0</v>
      </c>
      <c r="F29" s="1011">
        <f>'Table 4 Level 3'!P28</f>
        <v>688.58</v>
      </c>
      <c r="G29" s="1011">
        <f t="shared" si="3"/>
        <v>0</v>
      </c>
      <c r="H29" s="982">
        <f t="shared" si="4"/>
        <v>0</v>
      </c>
      <c r="I29" s="1021">
        <f t="shared" si="5"/>
        <v>0</v>
      </c>
      <c r="J29" s="982">
        <f t="shared" si="6"/>
        <v>0</v>
      </c>
      <c r="K29" s="982">
        <v>0</v>
      </c>
      <c r="L29" s="982">
        <f t="shared" si="7"/>
        <v>0</v>
      </c>
      <c r="M29" s="982">
        <f t="shared" si="8"/>
        <v>0</v>
      </c>
      <c r="N29" s="981">
        <f>'Table 5C1A-Madison Prep'!N29</f>
        <v>3386</v>
      </c>
      <c r="O29" s="983">
        <f t="shared" si="9"/>
        <v>0</v>
      </c>
      <c r="P29" s="1029">
        <f t="shared" si="10"/>
        <v>0</v>
      </c>
      <c r="Q29" s="983">
        <f t="shared" si="11"/>
        <v>0</v>
      </c>
      <c r="R29" s="983">
        <v>0</v>
      </c>
      <c r="S29" s="983">
        <f t="shared" si="12"/>
        <v>0</v>
      </c>
      <c r="T29" s="983">
        <f t="shared" si="13"/>
        <v>0</v>
      </c>
      <c r="U29" s="984">
        <f t="shared" si="14"/>
        <v>0</v>
      </c>
      <c r="V29" s="984">
        <f t="shared" si="14"/>
        <v>0</v>
      </c>
    </row>
    <row r="30" spans="1:22">
      <c r="A30" s="960">
        <v>24</v>
      </c>
      <c r="B30" s="961" t="s">
        <v>116</v>
      </c>
      <c r="C30" s="1078">
        <v>0</v>
      </c>
      <c r="D30" s="962">
        <f>'Table 3 Levels 1&amp;2'!AL31</f>
        <v>2764.1216755319151</v>
      </c>
      <c r="E30" s="1011">
        <f t="shared" si="2"/>
        <v>0</v>
      </c>
      <c r="F30" s="1011">
        <f>'Table 4 Level 3'!P29</f>
        <v>854.24999999999989</v>
      </c>
      <c r="G30" s="1011">
        <f t="shared" si="3"/>
        <v>0</v>
      </c>
      <c r="H30" s="982">
        <f t="shared" si="4"/>
        <v>0</v>
      </c>
      <c r="I30" s="1021">
        <f t="shared" si="5"/>
        <v>0</v>
      </c>
      <c r="J30" s="982">
        <f t="shared" si="6"/>
        <v>0</v>
      </c>
      <c r="K30" s="982">
        <v>0</v>
      </c>
      <c r="L30" s="982">
        <f t="shared" si="7"/>
        <v>0</v>
      </c>
      <c r="M30" s="982">
        <f t="shared" si="8"/>
        <v>0</v>
      </c>
      <c r="N30" s="981">
        <f>'Table 5C1A-Madison Prep'!N30</f>
        <v>9761</v>
      </c>
      <c r="O30" s="983">
        <f t="shared" si="9"/>
        <v>0</v>
      </c>
      <c r="P30" s="1029">
        <f t="shared" si="10"/>
        <v>0</v>
      </c>
      <c r="Q30" s="983">
        <f t="shared" si="11"/>
        <v>0</v>
      </c>
      <c r="R30" s="983">
        <v>0</v>
      </c>
      <c r="S30" s="983">
        <f t="shared" si="12"/>
        <v>0</v>
      </c>
      <c r="T30" s="983">
        <f t="shared" si="13"/>
        <v>0</v>
      </c>
      <c r="U30" s="984">
        <f t="shared" si="14"/>
        <v>0</v>
      </c>
      <c r="V30" s="984">
        <f t="shared" si="14"/>
        <v>0</v>
      </c>
    </row>
    <row r="31" spans="1:22">
      <c r="A31" s="963">
        <v>25</v>
      </c>
      <c r="B31" s="964" t="s">
        <v>117</v>
      </c>
      <c r="C31" s="1079">
        <v>0</v>
      </c>
      <c r="D31" s="965">
        <f>'Table 3 Levels 1&amp;2'!AL32</f>
        <v>3867.4480692053257</v>
      </c>
      <c r="E31" s="1012">
        <f t="shared" si="2"/>
        <v>0</v>
      </c>
      <c r="F31" s="1012">
        <f>'Table 4 Level 3'!P30</f>
        <v>653.73</v>
      </c>
      <c r="G31" s="1012">
        <f t="shared" si="3"/>
        <v>0</v>
      </c>
      <c r="H31" s="985">
        <f t="shared" si="4"/>
        <v>0</v>
      </c>
      <c r="I31" s="1022">
        <f t="shared" si="5"/>
        <v>0</v>
      </c>
      <c r="J31" s="985">
        <f t="shared" si="6"/>
        <v>0</v>
      </c>
      <c r="K31" s="985">
        <v>0</v>
      </c>
      <c r="L31" s="985">
        <f t="shared" si="7"/>
        <v>0</v>
      </c>
      <c r="M31" s="985">
        <f t="shared" si="8"/>
        <v>0</v>
      </c>
      <c r="N31" s="986">
        <f>'Table 5C1A-Madison Prep'!N31</f>
        <v>4842</v>
      </c>
      <c r="O31" s="987">
        <f t="shared" si="9"/>
        <v>0</v>
      </c>
      <c r="P31" s="1030">
        <f t="shared" si="10"/>
        <v>0</v>
      </c>
      <c r="Q31" s="987">
        <f t="shared" si="11"/>
        <v>0</v>
      </c>
      <c r="R31" s="987">
        <v>0</v>
      </c>
      <c r="S31" s="987">
        <f t="shared" si="12"/>
        <v>0</v>
      </c>
      <c r="T31" s="987">
        <f t="shared" si="13"/>
        <v>0</v>
      </c>
      <c r="U31" s="988">
        <f t="shared" si="14"/>
        <v>0</v>
      </c>
      <c r="V31" s="988">
        <f t="shared" si="14"/>
        <v>0</v>
      </c>
    </row>
    <row r="32" spans="1:22">
      <c r="A32" s="953">
        <v>26</v>
      </c>
      <c r="B32" s="954" t="s">
        <v>118</v>
      </c>
      <c r="C32" s="1080">
        <v>0</v>
      </c>
      <c r="D32" s="956">
        <f>'Table 3 Levels 1&amp;2'!AL33</f>
        <v>3293.481526790355</v>
      </c>
      <c r="E32" s="1010">
        <f t="shared" si="2"/>
        <v>0</v>
      </c>
      <c r="F32" s="1010">
        <f>'Table 4 Level 3'!P31</f>
        <v>836.83</v>
      </c>
      <c r="G32" s="1010">
        <f t="shared" si="3"/>
        <v>0</v>
      </c>
      <c r="H32" s="957">
        <f t="shared" si="4"/>
        <v>0</v>
      </c>
      <c r="I32" s="1020">
        <f t="shared" si="5"/>
        <v>0</v>
      </c>
      <c r="J32" s="957">
        <f t="shared" si="6"/>
        <v>0</v>
      </c>
      <c r="K32" s="957">
        <v>0</v>
      </c>
      <c r="L32" s="957">
        <f t="shared" si="7"/>
        <v>0</v>
      </c>
      <c r="M32" s="957">
        <f t="shared" si="8"/>
        <v>0</v>
      </c>
      <c r="N32" s="981">
        <f>'Table 5C1A-Madison Prep'!N32</f>
        <v>5301</v>
      </c>
      <c r="O32" s="958">
        <f t="shared" si="9"/>
        <v>0</v>
      </c>
      <c r="P32" s="1028">
        <f t="shared" si="10"/>
        <v>0</v>
      </c>
      <c r="Q32" s="958">
        <f t="shared" si="11"/>
        <v>0</v>
      </c>
      <c r="R32" s="958">
        <v>0</v>
      </c>
      <c r="S32" s="958">
        <f t="shared" si="12"/>
        <v>0</v>
      </c>
      <c r="T32" s="958">
        <f t="shared" si="13"/>
        <v>0</v>
      </c>
      <c r="U32" s="959">
        <f t="shared" si="14"/>
        <v>0</v>
      </c>
      <c r="V32" s="959">
        <f t="shared" si="14"/>
        <v>0</v>
      </c>
    </row>
    <row r="33" spans="1:22">
      <c r="A33" s="960">
        <v>27</v>
      </c>
      <c r="B33" s="961" t="s">
        <v>119</v>
      </c>
      <c r="C33" s="1081">
        <v>0</v>
      </c>
      <c r="D33" s="966">
        <f>'Table 3 Levels 1&amp;2'!AL34</f>
        <v>5680.7727517381973</v>
      </c>
      <c r="E33" s="1013">
        <f t="shared" si="2"/>
        <v>0</v>
      </c>
      <c r="F33" s="1013">
        <f>'Table 4 Level 3'!P32</f>
        <v>693.06</v>
      </c>
      <c r="G33" s="1013">
        <f t="shared" si="3"/>
        <v>0</v>
      </c>
      <c r="H33" s="989">
        <f t="shared" si="4"/>
        <v>0</v>
      </c>
      <c r="I33" s="1023">
        <f t="shared" si="5"/>
        <v>0</v>
      </c>
      <c r="J33" s="989">
        <f t="shared" si="6"/>
        <v>0</v>
      </c>
      <c r="K33" s="989">
        <v>0</v>
      </c>
      <c r="L33" s="989">
        <f t="shared" si="7"/>
        <v>0</v>
      </c>
      <c r="M33" s="989">
        <f t="shared" si="8"/>
        <v>0</v>
      </c>
      <c r="N33" s="981">
        <f>'Table 5C1A-Madison Prep'!N33</f>
        <v>3252</v>
      </c>
      <c r="O33" s="983">
        <f t="shared" si="9"/>
        <v>0</v>
      </c>
      <c r="P33" s="1029">
        <f t="shared" si="10"/>
        <v>0</v>
      </c>
      <c r="Q33" s="983">
        <f t="shared" si="11"/>
        <v>0</v>
      </c>
      <c r="R33" s="983">
        <v>0</v>
      </c>
      <c r="S33" s="983">
        <f t="shared" si="12"/>
        <v>0</v>
      </c>
      <c r="T33" s="983">
        <f t="shared" si="13"/>
        <v>0</v>
      </c>
      <c r="U33" s="984">
        <f t="shared" si="14"/>
        <v>0</v>
      </c>
      <c r="V33" s="984">
        <f t="shared" si="14"/>
        <v>0</v>
      </c>
    </row>
    <row r="34" spans="1:22">
      <c r="A34" s="960">
        <v>28</v>
      </c>
      <c r="B34" s="961" t="s">
        <v>120</v>
      </c>
      <c r="C34" s="1081">
        <v>0</v>
      </c>
      <c r="D34" s="966">
        <f>'Table 3 Levels 1&amp;2'!AL35</f>
        <v>3163.1694438483169</v>
      </c>
      <c r="E34" s="1013">
        <f t="shared" si="2"/>
        <v>0</v>
      </c>
      <c r="F34" s="1013">
        <f>'Table 4 Level 3'!P33</f>
        <v>694.4</v>
      </c>
      <c r="G34" s="1013">
        <f t="shared" si="3"/>
        <v>0</v>
      </c>
      <c r="H34" s="989">
        <f t="shared" si="4"/>
        <v>0</v>
      </c>
      <c r="I34" s="1023">
        <f t="shared" si="5"/>
        <v>0</v>
      </c>
      <c r="J34" s="989">
        <f t="shared" si="6"/>
        <v>0</v>
      </c>
      <c r="K34" s="989">
        <v>0</v>
      </c>
      <c r="L34" s="989">
        <f t="shared" si="7"/>
        <v>0</v>
      </c>
      <c r="M34" s="989">
        <f t="shared" si="8"/>
        <v>0</v>
      </c>
      <c r="N34" s="981">
        <f>'Table 5C1A-Madison Prep'!N34</f>
        <v>5361</v>
      </c>
      <c r="O34" s="983">
        <f t="shared" si="9"/>
        <v>0</v>
      </c>
      <c r="P34" s="1029">
        <f t="shared" si="10"/>
        <v>0</v>
      </c>
      <c r="Q34" s="983">
        <f t="shared" si="11"/>
        <v>0</v>
      </c>
      <c r="R34" s="983">
        <v>0</v>
      </c>
      <c r="S34" s="983">
        <f t="shared" si="12"/>
        <v>0</v>
      </c>
      <c r="T34" s="983">
        <f t="shared" si="13"/>
        <v>0</v>
      </c>
      <c r="U34" s="984">
        <f t="shared" si="14"/>
        <v>0</v>
      </c>
      <c r="V34" s="984">
        <f t="shared" si="14"/>
        <v>0</v>
      </c>
    </row>
    <row r="35" spans="1:22">
      <c r="A35" s="960">
        <v>29</v>
      </c>
      <c r="B35" s="961" t="s">
        <v>121</v>
      </c>
      <c r="C35" s="1081">
        <v>0</v>
      </c>
      <c r="D35" s="966">
        <f>'Table 3 Levels 1&amp;2'!AL36</f>
        <v>3952.5586133052648</v>
      </c>
      <c r="E35" s="1013">
        <f t="shared" si="2"/>
        <v>0</v>
      </c>
      <c r="F35" s="1013">
        <f>'Table 4 Level 3'!P34</f>
        <v>754.94999999999993</v>
      </c>
      <c r="G35" s="1013">
        <f t="shared" si="3"/>
        <v>0</v>
      </c>
      <c r="H35" s="989">
        <f t="shared" si="4"/>
        <v>0</v>
      </c>
      <c r="I35" s="1023">
        <f t="shared" si="5"/>
        <v>0</v>
      </c>
      <c r="J35" s="989">
        <f t="shared" si="6"/>
        <v>0</v>
      </c>
      <c r="K35" s="989">
        <v>0</v>
      </c>
      <c r="L35" s="989">
        <f t="shared" si="7"/>
        <v>0</v>
      </c>
      <c r="M35" s="989">
        <f t="shared" si="8"/>
        <v>0</v>
      </c>
      <c r="N35" s="981">
        <f>'Table 5C1A-Madison Prep'!N35</f>
        <v>4763</v>
      </c>
      <c r="O35" s="983">
        <f t="shared" si="9"/>
        <v>0</v>
      </c>
      <c r="P35" s="1029">
        <f t="shared" si="10"/>
        <v>0</v>
      </c>
      <c r="Q35" s="983">
        <f t="shared" si="11"/>
        <v>0</v>
      </c>
      <c r="R35" s="983">
        <v>0</v>
      </c>
      <c r="S35" s="983">
        <f t="shared" si="12"/>
        <v>0</v>
      </c>
      <c r="T35" s="983">
        <f t="shared" si="13"/>
        <v>0</v>
      </c>
      <c r="U35" s="984">
        <f t="shared" si="14"/>
        <v>0</v>
      </c>
      <c r="V35" s="984">
        <f t="shared" si="14"/>
        <v>0</v>
      </c>
    </row>
    <row r="36" spans="1:22">
      <c r="A36" s="963">
        <v>30</v>
      </c>
      <c r="B36" s="964" t="s">
        <v>122</v>
      </c>
      <c r="C36" s="1082">
        <v>0</v>
      </c>
      <c r="D36" s="967">
        <f>'Table 3 Levels 1&amp;2'!AL37</f>
        <v>5648.6510465852989</v>
      </c>
      <c r="E36" s="1014">
        <f t="shared" si="2"/>
        <v>0</v>
      </c>
      <c r="F36" s="1014">
        <f>'Table 4 Level 3'!P35</f>
        <v>727.17</v>
      </c>
      <c r="G36" s="1014">
        <f t="shared" si="3"/>
        <v>0</v>
      </c>
      <c r="H36" s="990">
        <f t="shared" si="4"/>
        <v>0</v>
      </c>
      <c r="I36" s="1024">
        <f t="shared" si="5"/>
        <v>0</v>
      </c>
      <c r="J36" s="990">
        <f t="shared" si="6"/>
        <v>0</v>
      </c>
      <c r="K36" s="990">
        <v>0</v>
      </c>
      <c r="L36" s="990">
        <f t="shared" si="7"/>
        <v>0</v>
      </c>
      <c r="M36" s="990">
        <f t="shared" si="8"/>
        <v>0</v>
      </c>
      <c r="N36" s="986">
        <f>'Table 5C1A-Madison Prep'!N36</f>
        <v>3236</v>
      </c>
      <c r="O36" s="987">
        <f t="shared" si="9"/>
        <v>0</v>
      </c>
      <c r="P36" s="1030">
        <f t="shared" si="10"/>
        <v>0</v>
      </c>
      <c r="Q36" s="987">
        <f t="shared" si="11"/>
        <v>0</v>
      </c>
      <c r="R36" s="987">
        <v>0</v>
      </c>
      <c r="S36" s="987">
        <f t="shared" si="12"/>
        <v>0</v>
      </c>
      <c r="T36" s="987">
        <f t="shared" si="13"/>
        <v>0</v>
      </c>
      <c r="U36" s="988">
        <f t="shared" si="14"/>
        <v>0</v>
      </c>
      <c r="V36" s="988">
        <f t="shared" si="14"/>
        <v>0</v>
      </c>
    </row>
    <row r="37" spans="1:22">
      <c r="A37" s="953">
        <v>31</v>
      </c>
      <c r="B37" s="954" t="s">
        <v>123</v>
      </c>
      <c r="C37" s="1083">
        <v>0</v>
      </c>
      <c r="D37" s="968">
        <f>'Table 3 Levels 1&amp;2'!AL38</f>
        <v>4348.9307899232972</v>
      </c>
      <c r="E37" s="1015">
        <f t="shared" si="2"/>
        <v>0</v>
      </c>
      <c r="F37" s="1015">
        <f>'Table 4 Level 3'!P36</f>
        <v>620.83000000000004</v>
      </c>
      <c r="G37" s="1015">
        <f t="shared" si="3"/>
        <v>0</v>
      </c>
      <c r="H37" s="991">
        <f t="shared" si="4"/>
        <v>0</v>
      </c>
      <c r="I37" s="1025">
        <f t="shared" si="5"/>
        <v>0</v>
      </c>
      <c r="J37" s="991">
        <f t="shared" si="6"/>
        <v>0</v>
      </c>
      <c r="K37" s="991">
        <v>0</v>
      </c>
      <c r="L37" s="991">
        <f t="shared" si="7"/>
        <v>0</v>
      </c>
      <c r="M37" s="991">
        <f t="shared" si="8"/>
        <v>0</v>
      </c>
      <c r="N37" s="981">
        <f>'Table 5C1A-Madison Prep'!N37</f>
        <v>4795</v>
      </c>
      <c r="O37" s="958">
        <f t="shared" si="9"/>
        <v>0</v>
      </c>
      <c r="P37" s="1028">
        <f t="shared" si="10"/>
        <v>0</v>
      </c>
      <c r="Q37" s="958">
        <f t="shared" si="11"/>
        <v>0</v>
      </c>
      <c r="R37" s="958">
        <v>0</v>
      </c>
      <c r="S37" s="958">
        <f t="shared" si="12"/>
        <v>0</v>
      </c>
      <c r="T37" s="958">
        <f t="shared" si="13"/>
        <v>0</v>
      </c>
      <c r="U37" s="959">
        <f t="shared" si="14"/>
        <v>0</v>
      </c>
      <c r="V37" s="959">
        <f t="shared" si="14"/>
        <v>0</v>
      </c>
    </row>
    <row r="38" spans="1:22">
      <c r="A38" s="960">
        <v>32</v>
      </c>
      <c r="B38" s="961" t="s">
        <v>124</v>
      </c>
      <c r="C38" s="1081">
        <f>ROUND(138*4%,0)</f>
        <v>6</v>
      </c>
      <c r="D38" s="966">
        <f>'Table 3 Levels 1&amp;2'!AL39</f>
        <v>5531.5157655456787</v>
      </c>
      <c r="E38" s="1013">
        <f t="shared" si="2"/>
        <v>33189.094593274072</v>
      </c>
      <c r="F38" s="1013">
        <f>'Table 4 Level 3'!P37</f>
        <v>559.77</v>
      </c>
      <c r="G38" s="1013">
        <f t="shared" si="3"/>
        <v>3358.62</v>
      </c>
      <c r="H38" s="989">
        <f t="shared" si="4"/>
        <v>36547.714593274075</v>
      </c>
      <c r="I38" s="1023">
        <f t="shared" si="5"/>
        <v>-91.369286483185192</v>
      </c>
      <c r="J38" s="989">
        <f t="shared" si="6"/>
        <v>36456.345306790892</v>
      </c>
      <c r="K38" s="989">
        <v>0</v>
      </c>
      <c r="L38" s="989">
        <f t="shared" si="7"/>
        <v>36456.345306790892</v>
      </c>
      <c r="M38" s="989">
        <f t="shared" si="8"/>
        <v>3038.0287755659078</v>
      </c>
      <c r="N38" s="981">
        <f>'Table 5C1A-Madison Prep'!N38</f>
        <v>2109</v>
      </c>
      <c r="O38" s="983">
        <f t="shared" si="9"/>
        <v>12654</v>
      </c>
      <c r="P38" s="1029">
        <f t="shared" si="10"/>
        <v>-31.635000000000002</v>
      </c>
      <c r="Q38" s="983">
        <f t="shared" si="11"/>
        <v>12622.365</v>
      </c>
      <c r="R38" s="983">
        <v>0</v>
      </c>
      <c r="S38" s="983">
        <f t="shared" si="12"/>
        <v>12622.365</v>
      </c>
      <c r="T38" s="983">
        <f t="shared" si="13"/>
        <v>1051.86375</v>
      </c>
      <c r="U38" s="984">
        <f t="shared" si="14"/>
        <v>49078.71030679089</v>
      </c>
      <c r="V38" s="984">
        <f t="shared" si="14"/>
        <v>4089.8925255659078</v>
      </c>
    </row>
    <row r="39" spans="1:22">
      <c r="A39" s="960">
        <v>33</v>
      </c>
      <c r="B39" s="961" t="s">
        <v>125</v>
      </c>
      <c r="C39" s="1081">
        <v>0</v>
      </c>
      <c r="D39" s="966">
        <f>'Table 3 Levels 1&amp;2'!AL40</f>
        <v>5329.5444226517857</v>
      </c>
      <c r="E39" s="1013">
        <f t="shared" si="2"/>
        <v>0</v>
      </c>
      <c r="F39" s="1013">
        <f>'Table 4 Level 3'!P38</f>
        <v>655.31000000000006</v>
      </c>
      <c r="G39" s="1013">
        <f t="shared" si="3"/>
        <v>0</v>
      </c>
      <c r="H39" s="989">
        <f t="shared" si="4"/>
        <v>0</v>
      </c>
      <c r="I39" s="1023">
        <f t="shared" si="5"/>
        <v>0</v>
      </c>
      <c r="J39" s="989">
        <f t="shared" si="6"/>
        <v>0</v>
      </c>
      <c r="K39" s="989">
        <v>0</v>
      </c>
      <c r="L39" s="989">
        <f t="shared" si="7"/>
        <v>0</v>
      </c>
      <c r="M39" s="989">
        <f t="shared" si="8"/>
        <v>0</v>
      </c>
      <c r="N39" s="981">
        <f>'Table 5C1A-Madison Prep'!N39</f>
        <v>2649</v>
      </c>
      <c r="O39" s="983">
        <f t="shared" si="9"/>
        <v>0</v>
      </c>
      <c r="P39" s="1029">
        <f t="shared" si="10"/>
        <v>0</v>
      </c>
      <c r="Q39" s="983">
        <f t="shared" si="11"/>
        <v>0</v>
      </c>
      <c r="R39" s="983">
        <v>0</v>
      </c>
      <c r="S39" s="983">
        <f t="shared" si="12"/>
        <v>0</v>
      </c>
      <c r="T39" s="983">
        <f t="shared" si="13"/>
        <v>0</v>
      </c>
      <c r="U39" s="984">
        <f t="shared" si="14"/>
        <v>0</v>
      </c>
      <c r="V39" s="984">
        <f t="shared" si="14"/>
        <v>0</v>
      </c>
    </row>
    <row r="40" spans="1:22">
      <c r="A40" s="960">
        <v>34</v>
      </c>
      <c r="B40" s="961" t="s">
        <v>126</v>
      </c>
      <c r="C40" s="1081">
        <v>0</v>
      </c>
      <c r="D40" s="966">
        <f>'Table 3 Levels 1&amp;2'!AL41</f>
        <v>6003.632932007491</v>
      </c>
      <c r="E40" s="1013">
        <f t="shared" si="2"/>
        <v>0</v>
      </c>
      <c r="F40" s="1013">
        <f>'Table 4 Level 3'!P39</f>
        <v>644.11000000000013</v>
      </c>
      <c r="G40" s="1013">
        <f t="shared" si="3"/>
        <v>0</v>
      </c>
      <c r="H40" s="989">
        <f t="shared" si="4"/>
        <v>0</v>
      </c>
      <c r="I40" s="1023">
        <f t="shared" si="5"/>
        <v>0</v>
      </c>
      <c r="J40" s="989">
        <f t="shared" si="6"/>
        <v>0</v>
      </c>
      <c r="K40" s="989">
        <v>0</v>
      </c>
      <c r="L40" s="989">
        <f t="shared" si="7"/>
        <v>0</v>
      </c>
      <c r="M40" s="989">
        <f t="shared" si="8"/>
        <v>0</v>
      </c>
      <c r="N40" s="981">
        <f>'Table 5C1A-Madison Prep'!N40</f>
        <v>2817</v>
      </c>
      <c r="O40" s="983">
        <f t="shared" si="9"/>
        <v>0</v>
      </c>
      <c r="P40" s="1029">
        <f t="shared" si="10"/>
        <v>0</v>
      </c>
      <c r="Q40" s="983">
        <f t="shared" si="11"/>
        <v>0</v>
      </c>
      <c r="R40" s="983">
        <v>0</v>
      </c>
      <c r="S40" s="983">
        <f t="shared" si="12"/>
        <v>0</v>
      </c>
      <c r="T40" s="983">
        <f t="shared" si="13"/>
        <v>0</v>
      </c>
      <c r="U40" s="984">
        <f t="shared" si="14"/>
        <v>0</v>
      </c>
      <c r="V40" s="984">
        <f t="shared" si="14"/>
        <v>0</v>
      </c>
    </row>
    <row r="41" spans="1:22">
      <c r="A41" s="963">
        <v>35</v>
      </c>
      <c r="B41" s="964" t="s">
        <v>127</v>
      </c>
      <c r="C41" s="1082">
        <v>0</v>
      </c>
      <c r="D41" s="967">
        <f>'Table 3 Levels 1&amp;2'!AL42</f>
        <v>4607.1606416222867</v>
      </c>
      <c r="E41" s="1014">
        <f t="shared" si="2"/>
        <v>0</v>
      </c>
      <c r="F41" s="1014">
        <f>'Table 4 Level 3'!P40</f>
        <v>537.96</v>
      </c>
      <c r="G41" s="1014">
        <f t="shared" si="3"/>
        <v>0</v>
      </c>
      <c r="H41" s="990">
        <f t="shared" si="4"/>
        <v>0</v>
      </c>
      <c r="I41" s="1024">
        <f t="shared" si="5"/>
        <v>0</v>
      </c>
      <c r="J41" s="990">
        <f t="shared" si="6"/>
        <v>0</v>
      </c>
      <c r="K41" s="990">
        <v>0</v>
      </c>
      <c r="L41" s="990">
        <f t="shared" si="7"/>
        <v>0</v>
      </c>
      <c r="M41" s="990">
        <f t="shared" si="8"/>
        <v>0</v>
      </c>
      <c r="N41" s="986">
        <f>'Table 5C1A-Madison Prep'!N41</f>
        <v>3298</v>
      </c>
      <c r="O41" s="987">
        <f t="shared" si="9"/>
        <v>0</v>
      </c>
      <c r="P41" s="1030">
        <f t="shared" si="10"/>
        <v>0</v>
      </c>
      <c r="Q41" s="987">
        <f t="shared" si="11"/>
        <v>0</v>
      </c>
      <c r="R41" s="987">
        <v>0</v>
      </c>
      <c r="S41" s="987">
        <f t="shared" si="12"/>
        <v>0</v>
      </c>
      <c r="T41" s="987">
        <f t="shared" si="13"/>
        <v>0</v>
      </c>
      <c r="U41" s="988">
        <f t="shared" si="14"/>
        <v>0</v>
      </c>
      <c r="V41" s="988">
        <f t="shared" si="14"/>
        <v>0</v>
      </c>
    </row>
    <row r="42" spans="1:22">
      <c r="A42" s="953">
        <v>36</v>
      </c>
      <c r="B42" s="954" t="s">
        <v>128</v>
      </c>
      <c r="C42" s="1083">
        <v>0</v>
      </c>
      <c r="D42" s="968">
        <f>'Table 3 Levels 1&amp;2'!AL43</f>
        <v>3520.4894337711748</v>
      </c>
      <c r="E42" s="1015">
        <f t="shared" si="2"/>
        <v>0</v>
      </c>
      <c r="F42" s="1015">
        <v>746.0335616438357</v>
      </c>
      <c r="G42" s="1015">
        <f t="shared" si="3"/>
        <v>0</v>
      </c>
      <c r="H42" s="991">
        <f t="shared" si="4"/>
        <v>0</v>
      </c>
      <c r="I42" s="1025">
        <f t="shared" si="5"/>
        <v>0</v>
      </c>
      <c r="J42" s="991">
        <f t="shared" si="6"/>
        <v>0</v>
      </c>
      <c r="K42" s="991">
        <v>0</v>
      </c>
      <c r="L42" s="991">
        <f t="shared" si="7"/>
        <v>0</v>
      </c>
      <c r="M42" s="991">
        <f t="shared" si="8"/>
        <v>0</v>
      </c>
      <c r="N42" s="981">
        <f>'Table 5C1A-Madison Prep'!N42</f>
        <v>5442</v>
      </c>
      <c r="O42" s="958">
        <f t="shared" si="9"/>
        <v>0</v>
      </c>
      <c r="P42" s="1028">
        <f t="shared" si="10"/>
        <v>0</v>
      </c>
      <c r="Q42" s="958">
        <f t="shared" si="11"/>
        <v>0</v>
      </c>
      <c r="R42" s="958">
        <v>0</v>
      </c>
      <c r="S42" s="958">
        <f t="shared" si="12"/>
        <v>0</v>
      </c>
      <c r="T42" s="958">
        <f t="shared" si="13"/>
        <v>0</v>
      </c>
      <c r="U42" s="959">
        <f t="shared" si="14"/>
        <v>0</v>
      </c>
      <c r="V42" s="959">
        <f t="shared" si="14"/>
        <v>0</v>
      </c>
    </row>
    <row r="43" spans="1:22">
      <c r="A43" s="960">
        <v>37</v>
      </c>
      <c r="B43" s="961" t="s">
        <v>129</v>
      </c>
      <c r="C43" s="1081">
        <v>0</v>
      </c>
      <c r="D43" s="966">
        <f>'Table 3 Levels 1&amp;2'!AL44</f>
        <v>5503.7595641818853</v>
      </c>
      <c r="E43" s="1013">
        <f t="shared" si="2"/>
        <v>0</v>
      </c>
      <c r="F43" s="1013">
        <f>'Table 4 Level 3'!P42</f>
        <v>653.61</v>
      </c>
      <c r="G43" s="1013">
        <f t="shared" si="3"/>
        <v>0</v>
      </c>
      <c r="H43" s="989">
        <f t="shared" si="4"/>
        <v>0</v>
      </c>
      <c r="I43" s="1023">
        <f t="shared" si="5"/>
        <v>0</v>
      </c>
      <c r="J43" s="989">
        <f t="shared" si="6"/>
        <v>0</v>
      </c>
      <c r="K43" s="989">
        <v>0</v>
      </c>
      <c r="L43" s="989">
        <f t="shared" si="7"/>
        <v>0</v>
      </c>
      <c r="M43" s="989">
        <f t="shared" si="8"/>
        <v>0</v>
      </c>
      <c r="N43" s="981">
        <f>'Table 5C1A-Madison Prep'!N43</f>
        <v>3227</v>
      </c>
      <c r="O43" s="983">
        <f t="shared" si="9"/>
        <v>0</v>
      </c>
      <c r="P43" s="1029">
        <f t="shared" si="10"/>
        <v>0</v>
      </c>
      <c r="Q43" s="983">
        <f t="shared" si="11"/>
        <v>0</v>
      </c>
      <c r="R43" s="983">
        <v>0</v>
      </c>
      <c r="S43" s="983">
        <f t="shared" si="12"/>
        <v>0</v>
      </c>
      <c r="T43" s="983">
        <f t="shared" si="13"/>
        <v>0</v>
      </c>
      <c r="U43" s="984">
        <f t="shared" si="14"/>
        <v>0</v>
      </c>
      <c r="V43" s="984">
        <f t="shared" si="14"/>
        <v>0</v>
      </c>
    </row>
    <row r="44" spans="1:22">
      <c r="A44" s="960">
        <v>38</v>
      </c>
      <c r="B44" s="961" t="s">
        <v>130</v>
      </c>
      <c r="C44" s="1081">
        <v>0</v>
      </c>
      <c r="D44" s="966">
        <f>'Table 3 Levels 1&amp;2'!AL45</f>
        <v>2192.7545275590551</v>
      </c>
      <c r="E44" s="1013">
        <f t="shared" si="2"/>
        <v>0</v>
      </c>
      <c r="F44" s="1013">
        <f>'Table 4 Level 3'!P43</f>
        <v>829.92000000000007</v>
      </c>
      <c r="G44" s="1013">
        <f t="shared" si="3"/>
        <v>0</v>
      </c>
      <c r="H44" s="989">
        <f t="shared" si="4"/>
        <v>0</v>
      </c>
      <c r="I44" s="1023">
        <f t="shared" si="5"/>
        <v>0</v>
      </c>
      <c r="J44" s="989">
        <f t="shared" si="6"/>
        <v>0</v>
      </c>
      <c r="K44" s="989">
        <v>0</v>
      </c>
      <c r="L44" s="989">
        <f t="shared" si="7"/>
        <v>0</v>
      </c>
      <c r="M44" s="989">
        <f t="shared" si="8"/>
        <v>0</v>
      </c>
      <c r="N44" s="981">
        <f>'Table 5C1A-Madison Prep'!N44</f>
        <v>10867</v>
      </c>
      <c r="O44" s="983">
        <f t="shared" si="9"/>
        <v>0</v>
      </c>
      <c r="P44" s="1029">
        <f t="shared" si="10"/>
        <v>0</v>
      </c>
      <c r="Q44" s="983">
        <f t="shared" si="11"/>
        <v>0</v>
      </c>
      <c r="R44" s="983">
        <v>0</v>
      </c>
      <c r="S44" s="983">
        <f t="shared" si="12"/>
        <v>0</v>
      </c>
      <c r="T44" s="983">
        <f t="shared" si="13"/>
        <v>0</v>
      </c>
      <c r="U44" s="984">
        <f t="shared" si="14"/>
        <v>0</v>
      </c>
      <c r="V44" s="984">
        <f t="shared" si="14"/>
        <v>0</v>
      </c>
    </row>
    <row r="45" spans="1:22">
      <c r="A45" s="960">
        <v>39</v>
      </c>
      <c r="B45" s="961" t="s">
        <v>131</v>
      </c>
      <c r="C45" s="1081">
        <v>0</v>
      </c>
      <c r="D45" s="966">
        <f>'Table 3 Levels 1&amp;2'!AL46</f>
        <v>3639.9942778062696</v>
      </c>
      <c r="E45" s="1013">
        <f t="shared" si="2"/>
        <v>0</v>
      </c>
      <c r="F45" s="1013">
        <f>'Table 4 Level 3'!P44</f>
        <v>779.65573042776441</v>
      </c>
      <c r="G45" s="1013">
        <f t="shared" si="3"/>
        <v>0</v>
      </c>
      <c r="H45" s="989">
        <f t="shared" si="4"/>
        <v>0</v>
      </c>
      <c r="I45" s="1023">
        <f t="shared" si="5"/>
        <v>0</v>
      </c>
      <c r="J45" s="989">
        <f t="shared" si="6"/>
        <v>0</v>
      </c>
      <c r="K45" s="989">
        <v>0</v>
      </c>
      <c r="L45" s="989">
        <f t="shared" si="7"/>
        <v>0</v>
      </c>
      <c r="M45" s="989">
        <f t="shared" si="8"/>
        <v>0</v>
      </c>
      <c r="N45" s="981">
        <f>'Table 5C1A-Madison Prep'!N45</f>
        <v>4324</v>
      </c>
      <c r="O45" s="983">
        <f t="shared" si="9"/>
        <v>0</v>
      </c>
      <c r="P45" s="1029">
        <f t="shared" si="10"/>
        <v>0</v>
      </c>
      <c r="Q45" s="983">
        <f t="shared" si="11"/>
        <v>0</v>
      </c>
      <c r="R45" s="983">
        <v>0</v>
      </c>
      <c r="S45" s="983">
        <f t="shared" si="12"/>
        <v>0</v>
      </c>
      <c r="T45" s="983">
        <f t="shared" si="13"/>
        <v>0</v>
      </c>
      <c r="U45" s="984">
        <f t="shared" si="14"/>
        <v>0</v>
      </c>
      <c r="V45" s="984">
        <f t="shared" si="14"/>
        <v>0</v>
      </c>
    </row>
    <row r="46" spans="1:22">
      <c r="A46" s="963">
        <v>40</v>
      </c>
      <c r="B46" s="964" t="s">
        <v>132</v>
      </c>
      <c r="C46" s="1082">
        <v>0</v>
      </c>
      <c r="D46" s="967">
        <f>'Table 3 Levels 1&amp;2'!AL47</f>
        <v>4928.4974462701202</v>
      </c>
      <c r="E46" s="1014">
        <f t="shared" si="2"/>
        <v>0</v>
      </c>
      <c r="F46" s="1014">
        <f>'Table 4 Level 3'!P45</f>
        <v>700.2700000000001</v>
      </c>
      <c r="G46" s="1014">
        <f t="shared" si="3"/>
        <v>0</v>
      </c>
      <c r="H46" s="990">
        <f t="shared" si="4"/>
        <v>0</v>
      </c>
      <c r="I46" s="1024">
        <f t="shared" si="5"/>
        <v>0</v>
      </c>
      <c r="J46" s="990">
        <f t="shared" si="6"/>
        <v>0</v>
      </c>
      <c r="K46" s="990">
        <v>0</v>
      </c>
      <c r="L46" s="990">
        <f t="shared" si="7"/>
        <v>0</v>
      </c>
      <c r="M46" s="990">
        <f t="shared" si="8"/>
        <v>0</v>
      </c>
      <c r="N46" s="986">
        <f>'Table 5C1A-Madison Prep'!N46</f>
        <v>3007</v>
      </c>
      <c r="O46" s="987">
        <f t="shared" si="9"/>
        <v>0</v>
      </c>
      <c r="P46" s="1030">
        <f t="shared" si="10"/>
        <v>0</v>
      </c>
      <c r="Q46" s="987">
        <f t="shared" si="11"/>
        <v>0</v>
      </c>
      <c r="R46" s="987">
        <v>0</v>
      </c>
      <c r="S46" s="987">
        <f t="shared" si="12"/>
        <v>0</v>
      </c>
      <c r="T46" s="987">
        <f t="shared" si="13"/>
        <v>0</v>
      </c>
      <c r="U46" s="988">
        <f t="shared" si="14"/>
        <v>0</v>
      </c>
      <c r="V46" s="988">
        <f t="shared" si="14"/>
        <v>0</v>
      </c>
    </row>
    <row r="47" spans="1:22">
      <c r="A47" s="953">
        <v>41</v>
      </c>
      <c r="B47" s="954" t="s">
        <v>133</v>
      </c>
      <c r="C47" s="1083">
        <v>0</v>
      </c>
      <c r="D47" s="968">
        <f>'Table 3 Levels 1&amp;2'!AL48</f>
        <v>1615.6013465627216</v>
      </c>
      <c r="E47" s="1015">
        <f t="shared" si="2"/>
        <v>0</v>
      </c>
      <c r="F47" s="1015">
        <f>'Table 4 Level 3'!P46</f>
        <v>886.22</v>
      </c>
      <c r="G47" s="1015">
        <f t="shared" si="3"/>
        <v>0</v>
      </c>
      <c r="H47" s="991">
        <f t="shared" si="4"/>
        <v>0</v>
      </c>
      <c r="I47" s="1025">
        <f t="shared" si="5"/>
        <v>0</v>
      </c>
      <c r="J47" s="991">
        <f t="shared" si="6"/>
        <v>0</v>
      </c>
      <c r="K47" s="991">
        <v>0</v>
      </c>
      <c r="L47" s="991">
        <f t="shared" si="7"/>
        <v>0</v>
      </c>
      <c r="M47" s="991">
        <f t="shared" si="8"/>
        <v>0</v>
      </c>
      <c r="N47" s="981">
        <f>'Table 5C1A-Madison Prep'!N47</f>
        <v>9087</v>
      </c>
      <c r="O47" s="958">
        <f t="shared" si="9"/>
        <v>0</v>
      </c>
      <c r="P47" s="1028">
        <f t="shared" si="10"/>
        <v>0</v>
      </c>
      <c r="Q47" s="958">
        <f t="shared" si="11"/>
        <v>0</v>
      </c>
      <c r="R47" s="958">
        <v>0</v>
      </c>
      <c r="S47" s="958">
        <f t="shared" si="12"/>
        <v>0</v>
      </c>
      <c r="T47" s="958">
        <f t="shared" si="13"/>
        <v>0</v>
      </c>
      <c r="U47" s="959">
        <f t="shared" si="14"/>
        <v>0</v>
      </c>
      <c r="V47" s="959">
        <f t="shared" si="14"/>
        <v>0</v>
      </c>
    </row>
    <row r="48" spans="1:22">
      <c r="A48" s="960">
        <v>42</v>
      </c>
      <c r="B48" s="961" t="s">
        <v>134</v>
      </c>
      <c r="C48" s="1081">
        <v>0</v>
      </c>
      <c r="D48" s="966">
        <f>'Table 3 Levels 1&amp;2'!AL49</f>
        <v>5087.4730460987803</v>
      </c>
      <c r="E48" s="1013">
        <f t="shared" si="2"/>
        <v>0</v>
      </c>
      <c r="F48" s="1013">
        <f>'Table 4 Level 3'!P47</f>
        <v>534.28</v>
      </c>
      <c r="G48" s="1013">
        <f t="shared" si="3"/>
        <v>0</v>
      </c>
      <c r="H48" s="989">
        <f t="shared" si="4"/>
        <v>0</v>
      </c>
      <c r="I48" s="1023">
        <f t="shared" si="5"/>
        <v>0</v>
      </c>
      <c r="J48" s="989">
        <f t="shared" si="6"/>
        <v>0</v>
      </c>
      <c r="K48" s="989">
        <v>0</v>
      </c>
      <c r="L48" s="989">
        <f t="shared" si="7"/>
        <v>0</v>
      </c>
      <c r="M48" s="989">
        <f t="shared" si="8"/>
        <v>0</v>
      </c>
      <c r="N48" s="981">
        <f>'Table 5C1A-Madison Prep'!N48</f>
        <v>2867</v>
      </c>
      <c r="O48" s="983">
        <f t="shared" si="9"/>
        <v>0</v>
      </c>
      <c r="P48" s="1029">
        <f t="shared" si="10"/>
        <v>0</v>
      </c>
      <c r="Q48" s="983">
        <f t="shared" si="11"/>
        <v>0</v>
      </c>
      <c r="R48" s="983">
        <v>0</v>
      </c>
      <c r="S48" s="983">
        <f t="shared" si="12"/>
        <v>0</v>
      </c>
      <c r="T48" s="983">
        <f t="shared" si="13"/>
        <v>0</v>
      </c>
      <c r="U48" s="984">
        <f t="shared" si="14"/>
        <v>0</v>
      </c>
      <c r="V48" s="984">
        <f t="shared" si="14"/>
        <v>0</v>
      </c>
    </row>
    <row r="49" spans="1:22">
      <c r="A49" s="960">
        <v>43</v>
      </c>
      <c r="B49" s="961" t="s">
        <v>135</v>
      </c>
      <c r="C49" s="1081">
        <v>0</v>
      </c>
      <c r="D49" s="966">
        <f>'Table 3 Levels 1&amp;2'!AL50</f>
        <v>4717.8414352725031</v>
      </c>
      <c r="E49" s="1013">
        <f t="shared" si="2"/>
        <v>0</v>
      </c>
      <c r="F49" s="1013">
        <f>'Table 4 Level 3'!P48</f>
        <v>574.6099999999999</v>
      </c>
      <c r="G49" s="1013">
        <f t="shared" si="3"/>
        <v>0</v>
      </c>
      <c r="H49" s="989">
        <f t="shared" si="4"/>
        <v>0</v>
      </c>
      <c r="I49" s="1023">
        <f t="shared" si="5"/>
        <v>0</v>
      </c>
      <c r="J49" s="989">
        <f t="shared" si="6"/>
        <v>0</v>
      </c>
      <c r="K49" s="989">
        <v>0</v>
      </c>
      <c r="L49" s="989">
        <f t="shared" si="7"/>
        <v>0</v>
      </c>
      <c r="M49" s="989">
        <f t="shared" si="8"/>
        <v>0</v>
      </c>
      <c r="N49" s="981">
        <f>'Table 5C1A-Madison Prep'!N49</f>
        <v>3587</v>
      </c>
      <c r="O49" s="983">
        <f t="shared" si="9"/>
        <v>0</v>
      </c>
      <c r="P49" s="1029">
        <f t="shared" si="10"/>
        <v>0</v>
      </c>
      <c r="Q49" s="983">
        <f t="shared" si="11"/>
        <v>0</v>
      </c>
      <c r="R49" s="983">
        <v>0</v>
      </c>
      <c r="S49" s="983">
        <f t="shared" si="12"/>
        <v>0</v>
      </c>
      <c r="T49" s="983">
        <f t="shared" si="13"/>
        <v>0</v>
      </c>
      <c r="U49" s="984">
        <f t="shared" si="14"/>
        <v>0</v>
      </c>
      <c r="V49" s="984">
        <f t="shared" si="14"/>
        <v>0</v>
      </c>
    </row>
    <row r="50" spans="1:22">
      <c r="A50" s="960">
        <v>44</v>
      </c>
      <c r="B50" s="961" t="s">
        <v>136</v>
      </c>
      <c r="C50" s="1081">
        <v>0</v>
      </c>
      <c r="D50" s="966">
        <f>'Table 3 Levels 1&amp;2'!AL51</f>
        <v>4696.6221228259064</v>
      </c>
      <c r="E50" s="1013">
        <f t="shared" si="2"/>
        <v>0</v>
      </c>
      <c r="F50" s="1013">
        <f>'Table 4 Level 3'!P49</f>
        <v>663.16000000000008</v>
      </c>
      <c r="G50" s="1013">
        <f t="shared" si="3"/>
        <v>0</v>
      </c>
      <c r="H50" s="989">
        <f t="shared" si="4"/>
        <v>0</v>
      </c>
      <c r="I50" s="1023">
        <f t="shared" si="5"/>
        <v>0</v>
      </c>
      <c r="J50" s="989">
        <f t="shared" si="6"/>
        <v>0</v>
      </c>
      <c r="K50" s="989">
        <v>0</v>
      </c>
      <c r="L50" s="989">
        <f t="shared" si="7"/>
        <v>0</v>
      </c>
      <c r="M50" s="989">
        <f t="shared" si="8"/>
        <v>0</v>
      </c>
      <c r="N50" s="981">
        <f>'Table 5C1A-Madison Prep'!N50</f>
        <v>4561</v>
      </c>
      <c r="O50" s="983">
        <f t="shared" si="9"/>
        <v>0</v>
      </c>
      <c r="P50" s="1029">
        <f t="shared" si="10"/>
        <v>0</v>
      </c>
      <c r="Q50" s="983">
        <f t="shared" si="11"/>
        <v>0</v>
      </c>
      <c r="R50" s="983">
        <v>0</v>
      </c>
      <c r="S50" s="983">
        <f t="shared" si="12"/>
        <v>0</v>
      </c>
      <c r="T50" s="983">
        <f t="shared" si="13"/>
        <v>0</v>
      </c>
      <c r="U50" s="984">
        <f t="shared" si="14"/>
        <v>0</v>
      </c>
      <c r="V50" s="984">
        <f t="shared" si="14"/>
        <v>0</v>
      </c>
    </row>
    <row r="51" spans="1:22">
      <c r="A51" s="963">
        <v>45</v>
      </c>
      <c r="B51" s="964" t="s">
        <v>137</v>
      </c>
      <c r="C51" s="1082">
        <v>0</v>
      </c>
      <c r="D51" s="967">
        <f>'Table 3 Levels 1&amp;2'!AL52</f>
        <v>2192.4914538932262</v>
      </c>
      <c r="E51" s="1014">
        <f t="shared" si="2"/>
        <v>0</v>
      </c>
      <c r="F51" s="1014">
        <f>'Table 4 Level 3'!P50</f>
        <v>753.96000000000015</v>
      </c>
      <c r="G51" s="1014">
        <f t="shared" si="3"/>
        <v>0</v>
      </c>
      <c r="H51" s="990">
        <f t="shared" si="4"/>
        <v>0</v>
      </c>
      <c r="I51" s="1024">
        <f t="shared" si="5"/>
        <v>0</v>
      </c>
      <c r="J51" s="990">
        <f t="shared" si="6"/>
        <v>0</v>
      </c>
      <c r="K51" s="990">
        <v>0</v>
      </c>
      <c r="L51" s="990">
        <f t="shared" si="7"/>
        <v>0</v>
      </c>
      <c r="M51" s="990">
        <f t="shared" si="8"/>
        <v>0</v>
      </c>
      <c r="N51" s="986">
        <f>'Table 5C1A-Madison Prep'!N51</f>
        <v>11287</v>
      </c>
      <c r="O51" s="987">
        <f t="shared" si="9"/>
        <v>0</v>
      </c>
      <c r="P51" s="1030">
        <f t="shared" si="10"/>
        <v>0</v>
      </c>
      <c r="Q51" s="987">
        <f t="shared" si="11"/>
        <v>0</v>
      </c>
      <c r="R51" s="987">
        <v>0</v>
      </c>
      <c r="S51" s="987">
        <f t="shared" si="12"/>
        <v>0</v>
      </c>
      <c r="T51" s="987">
        <f t="shared" si="13"/>
        <v>0</v>
      </c>
      <c r="U51" s="988">
        <f t="shared" si="14"/>
        <v>0</v>
      </c>
      <c r="V51" s="988">
        <f t="shared" si="14"/>
        <v>0</v>
      </c>
    </row>
    <row r="52" spans="1:22">
      <c r="A52" s="953">
        <v>46</v>
      </c>
      <c r="B52" s="954" t="s">
        <v>138</v>
      </c>
      <c r="C52" s="1083">
        <v>0</v>
      </c>
      <c r="D52" s="968">
        <f>'Table 3 Levels 1&amp;2'!AL53</f>
        <v>5644.6599115241634</v>
      </c>
      <c r="E52" s="1015">
        <f t="shared" si="2"/>
        <v>0</v>
      </c>
      <c r="F52" s="1015">
        <f>'Table 4 Level 3'!P51</f>
        <v>728.06</v>
      </c>
      <c r="G52" s="1015">
        <f t="shared" si="3"/>
        <v>0</v>
      </c>
      <c r="H52" s="991">
        <f t="shared" si="4"/>
        <v>0</v>
      </c>
      <c r="I52" s="1025">
        <f t="shared" si="5"/>
        <v>0</v>
      </c>
      <c r="J52" s="991">
        <f t="shared" si="6"/>
        <v>0</v>
      </c>
      <c r="K52" s="991">
        <v>0</v>
      </c>
      <c r="L52" s="991">
        <f t="shared" si="7"/>
        <v>0</v>
      </c>
      <c r="M52" s="991">
        <f t="shared" si="8"/>
        <v>0</v>
      </c>
      <c r="N52" s="981">
        <f>'Table 5C1A-Madison Prep'!N52</f>
        <v>2150</v>
      </c>
      <c r="O52" s="958">
        <f t="shared" si="9"/>
        <v>0</v>
      </c>
      <c r="P52" s="1028">
        <f t="shared" si="10"/>
        <v>0</v>
      </c>
      <c r="Q52" s="958">
        <f t="shared" si="11"/>
        <v>0</v>
      </c>
      <c r="R52" s="958">
        <v>0</v>
      </c>
      <c r="S52" s="958">
        <f t="shared" si="12"/>
        <v>0</v>
      </c>
      <c r="T52" s="958">
        <f t="shared" si="13"/>
        <v>0</v>
      </c>
      <c r="U52" s="959">
        <f t="shared" si="14"/>
        <v>0</v>
      </c>
      <c r="V52" s="959">
        <f t="shared" si="14"/>
        <v>0</v>
      </c>
    </row>
    <row r="53" spans="1:22">
      <c r="A53" s="960">
        <v>47</v>
      </c>
      <c r="B53" s="961" t="s">
        <v>139</v>
      </c>
      <c r="C53" s="1081">
        <v>0</v>
      </c>
      <c r="D53" s="966">
        <f>'Table 3 Levels 1&amp;2'!AL54</f>
        <v>2731.2444076222037</v>
      </c>
      <c r="E53" s="1013">
        <f t="shared" si="2"/>
        <v>0</v>
      </c>
      <c r="F53" s="1013">
        <f>'Table 4 Level 3'!P52</f>
        <v>910.76</v>
      </c>
      <c r="G53" s="1013">
        <f t="shared" si="3"/>
        <v>0</v>
      </c>
      <c r="H53" s="989">
        <f t="shared" si="4"/>
        <v>0</v>
      </c>
      <c r="I53" s="1023">
        <f t="shared" si="5"/>
        <v>0</v>
      </c>
      <c r="J53" s="989">
        <f t="shared" si="6"/>
        <v>0</v>
      </c>
      <c r="K53" s="989">
        <v>0</v>
      </c>
      <c r="L53" s="989">
        <f t="shared" si="7"/>
        <v>0</v>
      </c>
      <c r="M53" s="989">
        <f t="shared" si="8"/>
        <v>0</v>
      </c>
      <c r="N53" s="981">
        <f>'Table 5C1A-Madison Prep'!N53</f>
        <v>13280</v>
      </c>
      <c r="O53" s="983">
        <f t="shared" si="9"/>
        <v>0</v>
      </c>
      <c r="P53" s="1029">
        <f t="shared" si="10"/>
        <v>0</v>
      </c>
      <c r="Q53" s="983">
        <f t="shared" si="11"/>
        <v>0</v>
      </c>
      <c r="R53" s="983">
        <v>0</v>
      </c>
      <c r="S53" s="983">
        <f t="shared" si="12"/>
        <v>0</v>
      </c>
      <c r="T53" s="983">
        <f t="shared" si="13"/>
        <v>0</v>
      </c>
      <c r="U53" s="984">
        <f t="shared" si="14"/>
        <v>0</v>
      </c>
      <c r="V53" s="984">
        <f t="shared" si="14"/>
        <v>0</v>
      </c>
    </row>
    <row r="54" spans="1:22">
      <c r="A54" s="960">
        <v>48</v>
      </c>
      <c r="B54" s="961" t="s">
        <v>197</v>
      </c>
      <c r="C54" s="1081">
        <v>0</v>
      </c>
      <c r="D54" s="966">
        <f>'Table 3 Levels 1&amp;2'!AL55</f>
        <v>4272.723323083942</v>
      </c>
      <c r="E54" s="1013">
        <f t="shared" si="2"/>
        <v>0</v>
      </c>
      <c r="F54" s="1013">
        <f>'Table 4 Level 3'!P53</f>
        <v>871.07</v>
      </c>
      <c r="G54" s="1013">
        <f t="shared" si="3"/>
        <v>0</v>
      </c>
      <c r="H54" s="989">
        <f t="shared" si="4"/>
        <v>0</v>
      </c>
      <c r="I54" s="1023">
        <f t="shared" si="5"/>
        <v>0</v>
      </c>
      <c r="J54" s="989">
        <f t="shared" si="6"/>
        <v>0</v>
      </c>
      <c r="K54" s="989">
        <v>0</v>
      </c>
      <c r="L54" s="989">
        <f t="shared" si="7"/>
        <v>0</v>
      </c>
      <c r="M54" s="989">
        <f t="shared" si="8"/>
        <v>0</v>
      </c>
      <c r="N54" s="981">
        <f>'Table 5C1A-Madison Prep'!N54</f>
        <v>6453</v>
      </c>
      <c r="O54" s="983">
        <f t="shared" si="9"/>
        <v>0</v>
      </c>
      <c r="P54" s="1029">
        <f t="shared" si="10"/>
        <v>0</v>
      </c>
      <c r="Q54" s="983">
        <f t="shared" si="11"/>
        <v>0</v>
      </c>
      <c r="R54" s="983">
        <v>0</v>
      </c>
      <c r="S54" s="983">
        <f t="shared" si="12"/>
        <v>0</v>
      </c>
      <c r="T54" s="983">
        <f t="shared" si="13"/>
        <v>0</v>
      </c>
      <c r="U54" s="984">
        <f t="shared" si="14"/>
        <v>0</v>
      </c>
      <c r="V54" s="984">
        <f t="shared" si="14"/>
        <v>0</v>
      </c>
    </row>
    <row r="55" spans="1:22">
      <c r="A55" s="960">
        <v>49</v>
      </c>
      <c r="B55" s="961" t="s">
        <v>140</v>
      </c>
      <c r="C55" s="1081">
        <v>0</v>
      </c>
      <c r="D55" s="966">
        <f>'Table 3 Levels 1&amp;2'!AL56</f>
        <v>4836.7092570332552</v>
      </c>
      <c r="E55" s="1013">
        <f t="shared" si="2"/>
        <v>0</v>
      </c>
      <c r="F55" s="1013">
        <f>'Table 4 Level 3'!P54</f>
        <v>574.43999999999994</v>
      </c>
      <c r="G55" s="1013">
        <f t="shared" si="3"/>
        <v>0</v>
      </c>
      <c r="H55" s="989">
        <f t="shared" si="4"/>
        <v>0</v>
      </c>
      <c r="I55" s="1023">
        <f t="shared" si="5"/>
        <v>0</v>
      </c>
      <c r="J55" s="989">
        <f t="shared" si="6"/>
        <v>0</v>
      </c>
      <c r="K55" s="989">
        <v>0</v>
      </c>
      <c r="L55" s="989">
        <f t="shared" si="7"/>
        <v>0</v>
      </c>
      <c r="M55" s="989">
        <f t="shared" si="8"/>
        <v>0</v>
      </c>
      <c r="N55" s="981">
        <f>'Table 5C1A-Madison Prep'!N55</f>
        <v>2287</v>
      </c>
      <c r="O55" s="983">
        <f t="shared" si="9"/>
        <v>0</v>
      </c>
      <c r="P55" s="1029">
        <f t="shared" si="10"/>
        <v>0</v>
      </c>
      <c r="Q55" s="983">
        <f t="shared" si="11"/>
        <v>0</v>
      </c>
      <c r="R55" s="983">
        <v>0</v>
      </c>
      <c r="S55" s="983">
        <f t="shared" si="12"/>
        <v>0</v>
      </c>
      <c r="T55" s="983">
        <f t="shared" si="13"/>
        <v>0</v>
      </c>
      <c r="U55" s="984">
        <f t="shared" si="14"/>
        <v>0</v>
      </c>
      <c r="V55" s="984">
        <f t="shared" si="14"/>
        <v>0</v>
      </c>
    </row>
    <row r="56" spans="1:22">
      <c r="A56" s="963">
        <v>50</v>
      </c>
      <c r="B56" s="964" t="s">
        <v>141</v>
      </c>
      <c r="C56" s="1082">
        <v>0</v>
      </c>
      <c r="D56" s="967">
        <f>'Table 3 Levels 1&amp;2'!AL57</f>
        <v>5032.6862895017111</v>
      </c>
      <c r="E56" s="1014">
        <f t="shared" si="2"/>
        <v>0</v>
      </c>
      <c r="F56" s="1014">
        <f>'Table 4 Level 3'!P55</f>
        <v>634.46</v>
      </c>
      <c r="G56" s="1014">
        <f t="shared" si="3"/>
        <v>0</v>
      </c>
      <c r="H56" s="990">
        <f t="shared" si="4"/>
        <v>0</v>
      </c>
      <c r="I56" s="1024">
        <f t="shared" si="5"/>
        <v>0</v>
      </c>
      <c r="J56" s="990">
        <f t="shared" si="6"/>
        <v>0</v>
      </c>
      <c r="K56" s="990">
        <v>0</v>
      </c>
      <c r="L56" s="990">
        <f t="shared" si="7"/>
        <v>0</v>
      </c>
      <c r="M56" s="990">
        <f t="shared" si="8"/>
        <v>0</v>
      </c>
      <c r="N56" s="986">
        <f>'Table 5C1A-Madison Prep'!N56</f>
        <v>2801</v>
      </c>
      <c r="O56" s="987">
        <f t="shared" si="9"/>
        <v>0</v>
      </c>
      <c r="P56" s="1030">
        <f t="shared" si="10"/>
        <v>0</v>
      </c>
      <c r="Q56" s="987">
        <f t="shared" si="11"/>
        <v>0</v>
      </c>
      <c r="R56" s="987">
        <v>0</v>
      </c>
      <c r="S56" s="987">
        <f t="shared" si="12"/>
        <v>0</v>
      </c>
      <c r="T56" s="987">
        <f t="shared" si="13"/>
        <v>0</v>
      </c>
      <c r="U56" s="988">
        <f t="shared" si="14"/>
        <v>0</v>
      </c>
      <c r="V56" s="988">
        <f t="shared" si="14"/>
        <v>0</v>
      </c>
    </row>
    <row r="57" spans="1:22">
      <c r="A57" s="953">
        <v>51</v>
      </c>
      <c r="B57" s="954" t="s">
        <v>142</v>
      </c>
      <c r="C57" s="1083">
        <v>0</v>
      </c>
      <c r="D57" s="968">
        <f>'Table 3 Levels 1&amp;2'!AL58</f>
        <v>4246.0339872793602</v>
      </c>
      <c r="E57" s="1015">
        <f t="shared" si="2"/>
        <v>0</v>
      </c>
      <c r="F57" s="1015">
        <f>'Table 4 Level 3'!P56</f>
        <v>706.66</v>
      </c>
      <c r="G57" s="1015">
        <f t="shared" si="3"/>
        <v>0</v>
      </c>
      <c r="H57" s="991">
        <f t="shared" si="4"/>
        <v>0</v>
      </c>
      <c r="I57" s="1025">
        <f t="shared" si="5"/>
        <v>0</v>
      </c>
      <c r="J57" s="991">
        <f t="shared" si="6"/>
        <v>0</v>
      </c>
      <c r="K57" s="991">
        <v>0</v>
      </c>
      <c r="L57" s="991">
        <f t="shared" si="7"/>
        <v>0</v>
      </c>
      <c r="M57" s="991">
        <f t="shared" si="8"/>
        <v>0</v>
      </c>
      <c r="N57" s="981">
        <f>'Table 5C1A-Madison Prep'!N57</f>
        <v>4215</v>
      </c>
      <c r="O57" s="958">
        <f t="shared" si="9"/>
        <v>0</v>
      </c>
      <c r="P57" s="1028">
        <f t="shared" si="10"/>
        <v>0</v>
      </c>
      <c r="Q57" s="958">
        <f t="shared" si="11"/>
        <v>0</v>
      </c>
      <c r="R57" s="958">
        <v>0</v>
      </c>
      <c r="S57" s="958">
        <f t="shared" si="12"/>
        <v>0</v>
      </c>
      <c r="T57" s="958">
        <f t="shared" si="13"/>
        <v>0</v>
      </c>
      <c r="U57" s="959">
        <f t="shared" si="14"/>
        <v>0</v>
      </c>
      <c r="V57" s="959">
        <f t="shared" si="14"/>
        <v>0</v>
      </c>
    </row>
    <row r="58" spans="1:22">
      <c r="A58" s="960">
        <v>52</v>
      </c>
      <c r="B58" s="961" t="s">
        <v>143</v>
      </c>
      <c r="C58" s="1081">
        <v>0</v>
      </c>
      <c r="D58" s="966">
        <f>'Table 3 Levels 1&amp;2'!AL59</f>
        <v>5013.4438050113249</v>
      </c>
      <c r="E58" s="1013">
        <f t="shared" si="2"/>
        <v>0</v>
      </c>
      <c r="F58" s="1013">
        <f>'Table 4 Level 3'!P57</f>
        <v>658.37</v>
      </c>
      <c r="G58" s="1013">
        <f t="shared" si="3"/>
        <v>0</v>
      </c>
      <c r="H58" s="989">
        <f t="shared" si="4"/>
        <v>0</v>
      </c>
      <c r="I58" s="1023">
        <f t="shared" si="5"/>
        <v>0</v>
      </c>
      <c r="J58" s="989">
        <f t="shared" si="6"/>
        <v>0</v>
      </c>
      <c r="K58" s="989">
        <v>0</v>
      </c>
      <c r="L58" s="989">
        <f t="shared" si="7"/>
        <v>0</v>
      </c>
      <c r="M58" s="989">
        <f t="shared" si="8"/>
        <v>0</v>
      </c>
      <c r="N58" s="981">
        <f>'Table 5C1A-Madison Prep'!N58</f>
        <v>4889</v>
      </c>
      <c r="O58" s="983">
        <f t="shared" si="9"/>
        <v>0</v>
      </c>
      <c r="P58" s="1029">
        <f t="shared" si="10"/>
        <v>0</v>
      </c>
      <c r="Q58" s="983">
        <f t="shared" si="11"/>
        <v>0</v>
      </c>
      <c r="R58" s="983">
        <v>0</v>
      </c>
      <c r="S58" s="983">
        <f t="shared" si="12"/>
        <v>0</v>
      </c>
      <c r="T58" s="983">
        <f t="shared" si="13"/>
        <v>0</v>
      </c>
      <c r="U58" s="984">
        <f t="shared" si="14"/>
        <v>0</v>
      </c>
      <c r="V58" s="984">
        <f t="shared" si="14"/>
        <v>0</v>
      </c>
    </row>
    <row r="59" spans="1:22">
      <c r="A59" s="960">
        <v>53</v>
      </c>
      <c r="B59" s="961" t="s">
        <v>144</v>
      </c>
      <c r="C59" s="1081">
        <v>0</v>
      </c>
      <c r="D59" s="966">
        <f>'Table 3 Levels 1&amp;2'!AL60</f>
        <v>4775.5877635581091</v>
      </c>
      <c r="E59" s="1013">
        <f t="shared" si="2"/>
        <v>0</v>
      </c>
      <c r="F59" s="1013">
        <f>'Table 4 Level 3'!P58</f>
        <v>689.74</v>
      </c>
      <c r="G59" s="1013">
        <f t="shared" si="3"/>
        <v>0</v>
      </c>
      <c r="H59" s="989">
        <f t="shared" si="4"/>
        <v>0</v>
      </c>
      <c r="I59" s="1023">
        <f t="shared" si="5"/>
        <v>0</v>
      </c>
      <c r="J59" s="989">
        <f t="shared" si="6"/>
        <v>0</v>
      </c>
      <c r="K59" s="989">
        <v>0</v>
      </c>
      <c r="L59" s="989">
        <f t="shared" si="7"/>
        <v>0</v>
      </c>
      <c r="M59" s="989">
        <f t="shared" si="8"/>
        <v>0</v>
      </c>
      <c r="N59" s="981">
        <f>'Table 5C1A-Madison Prep'!N59</f>
        <v>2119</v>
      </c>
      <c r="O59" s="983">
        <f t="shared" si="9"/>
        <v>0</v>
      </c>
      <c r="P59" s="1029">
        <f t="shared" si="10"/>
        <v>0</v>
      </c>
      <c r="Q59" s="983">
        <f t="shared" si="11"/>
        <v>0</v>
      </c>
      <c r="R59" s="983">
        <v>0</v>
      </c>
      <c r="S59" s="983">
        <f t="shared" si="12"/>
        <v>0</v>
      </c>
      <c r="T59" s="983">
        <f t="shared" si="13"/>
        <v>0</v>
      </c>
      <c r="U59" s="984">
        <f t="shared" si="14"/>
        <v>0</v>
      </c>
      <c r="V59" s="984">
        <f t="shared" si="14"/>
        <v>0</v>
      </c>
    </row>
    <row r="60" spans="1:22">
      <c r="A60" s="960">
        <v>54</v>
      </c>
      <c r="B60" s="961" t="s">
        <v>145</v>
      </c>
      <c r="C60" s="1081">
        <v>0</v>
      </c>
      <c r="D60" s="966">
        <f>'Table 3 Levels 1&amp;2'!AL61</f>
        <v>5951.8009386275662</v>
      </c>
      <c r="E60" s="1013">
        <f t="shared" si="2"/>
        <v>0</v>
      </c>
      <c r="F60" s="1013">
        <f>'Table 4 Level 3'!P59</f>
        <v>951.45</v>
      </c>
      <c r="G60" s="1013">
        <f t="shared" si="3"/>
        <v>0</v>
      </c>
      <c r="H60" s="989">
        <f t="shared" si="4"/>
        <v>0</v>
      </c>
      <c r="I60" s="1023">
        <f t="shared" si="5"/>
        <v>0</v>
      </c>
      <c r="J60" s="989">
        <f t="shared" si="6"/>
        <v>0</v>
      </c>
      <c r="K60" s="989">
        <v>0</v>
      </c>
      <c r="L60" s="989">
        <f t="shared" si="7"/>
        <v>0</v>
      </c>
      <c r="M60" s="989">
        <f t="shared" si="8"/>
        <v>0</v>
      </c>
      <c r="N60" s="981">
        <f>'Table 5C1A-Madison Prep'!N60</f>
        <v>3690</v>
      </c>
      <c r="O60" s="983">
        <f t="shared" si="9"/>
        <v>0</v>
      </c>
      <c r="P60" s="1029">
        <f t="shared" si="10"/>
        <v>0</v>
      </c>
      <c r="Q60" s="983">
        <f t="shared" si="11"/>
        <v>0</v>
      </c>
      <c r="R60" s="983">
        <v>0</v>
      </c>
      <c r="S60" s="983">
        <f t="shared" si="12"/>
        <v>0</v>
      </c>
      <c r="T60" s="983">
        <f t="shared" si="13"/>
        <v>0</v>
      </c>
      <c r="U60" s="984">
        <f t="shared" si="14"/>
        <v>0</v>
      </c>
      <c r="V60" s="984">
        <f t="shared" si="14"/>
        <v>0</v>
      </c>
    </row>
    <row r="61" spans="1:22">
      <c r="A61" s="963">
        <v>55</v>
      </c>
      <c r="B61" s="964" t="s">
        <v>146</v>
      </c>
      <c r="C61" s="1082">
        <v>0</v>
      </c>
      <c r="D61" s="967">
        <f>'Table 3 Levels 1&amp;2'!AL62</f>
        <v>4171.0434735233157</v>
      </c>
      <c r="E61" s="1014">
        <f t="shared" si="2"/>
        <v>0</v>
      </c>
      <c r="F61" s="1014">
        <f>'Table 4 Level 3'!P60</f>
        <v>795.14</v>
      </c>
      <c r="G61" s="1014">
        <f t="shared" si="3"/>
        <v>0</v>
      </c>
      <c r="H61" s="990">
        <f t="shared" si="4"/>
        <v>0</v>
      </c>
      <c r="I61" s="1024">
        <f t="shared" si="5"/>
        <v>0</v>
      </c>
      <c r="J61" s="990">
        <f t="shared" si="6"/>
        <v>0</v>
      </c>
      <c r="K61" s="990">
        <v>0</v>
      </c>
      <c r="L61" s="990">
        <f t="shared" si="7"/>
        <v>0</v>
      </c>
      <c r="M61" s="990">
        <f t="shared" si="8"/>
        <v>0</v>
      </c>
      <c r="N61" s="986">
        <f>'Table 5C1A-Madison Prep'!N61</f>
        <v>3157</v>
      </c>
      <c r="O61" s="987">
        <f t="shared" si="9"/>
        <v>0</v>
      </c>
      <c r="P61" s="1030">
        <f t="shared" si="10"/>
        <v>0</v>
      </c>
      <c r="Q61" s="987">
        <f t="shared" si="11"/>
        <v>0</v>
      </c>
      <c r="R61" s="987">
        <v>0</v>
      </c>
      <c r="S61" s="987">
        <f t="shared" si="12"/>
        <v>0</v>
      </c>
      <c r="T61" s="987">
        <f t="shared" si="13"/>
        <v>0</v>
      </c>
      <c r="U61" s="988">
        <f t="shared" si="14"/>
        <v>0</v>
      </c>
      <c r="V61" s="988">
        <f t="shared" si="14"/>
        <v>0</v>
      </c>
    </row>
    <row r="62" spans="1:22">
      <c r="A62" s="953">
        <v>56</v>
      </c>
      <c r="B62" s="954" t="s">
        <v>147</v>
      </c>
      <c r="C62" s="1083">
        <v>0</v>
      </c>
      <c r="D62" s="968">
        <f>'Table 3 Levels 1&amp;2'!AL63</f>
        <v>4968.593189672727</v>
      </c>
      <c r="E62" s="1015">
        <f t="shared" si="2"/>
        <v>0</v>
      </c>
      <c r="F62" s="1015">
        <f>'Table 4 Level 3'!P61</f>
        <v>614.66000000000008</v>
      </c>
      <c r="G62" s="1015">
        <f t="shared" si="3"/>
        <v>0</v>
      </c>
      <c r="H62" s="991">
        <f t="shared" si="4"/>
        <v>0</v>
      </c>
      <c r="I62" s="1025">
        <f t="shared" si="5"/>
        <v>0</v>
      </c>
      <c r="J62" s="991">
        <f t="shared" si="6"/>
        <v>0</v>
      </c>
      <c r="K62" s="991">
        <v>0</v>
      </c>
      <c r="L62" s="991">
        <f t="shared" si="7"/>
        <v>0</v>
      </c>
      <c r="M62" s="991">
        <f t="shared" si="8"/>
        <v>0</v>
      </c>
      <c r="N62" s="981">
        <f>'Table 5C1A-Madison Prep'!N62</f>
        <v>2779</v>
      </c>
      <c r="O62" s="958">
        <f t="shared" si="9"/>
        <v>0</v>
      </c>
      <c r="P62" s="1028">
        <f t="shared" si="10"/>
        <v>0</v>
      </c>
      <c r="Q62" s="958">
        <f t="shared" si="11"/>
        <v>0</v>
      </c>
      <c r="R62" s="958">
        <v>0</v>
      </c>
      <c r="S62" s="958">
        <f t="shared" si="12"/>
        <v>0</v>
      </c>
      <c r="T62" s="958">
        <f t="shared" si="13"/>
        <v>0</v>
      </c>
      <c r="U62" s="959">
        <f t="shared" si="14"/>
        <v>0</v>
      </c>
      <c r="V62" s="959">
        <f t="shared" si="14"/>
        <v>0</v>
      </c>
    </row>
    <row r="63" spans="1:22">
      <c r="A63" s="960">
        <v>57</v>
      </c>
      <c r="B63" s="961" t="s">
        <v>148</v>
      </c>
      <c r="C63" s="1081">
        <v>0</v>
      </c>
      <c r="D63" s="966">
        <f>'Table 3 Levels 1&amp;2'!AL64</f>
        <v>4485.7073020218859</v>
      </c>
      <c r="E63" s="1013">
        <f t="shared" si="2"/>
        <v>0</v>
      </c>
      <c r="F63" s="1013">
        <f>'Table 4 Level 3'!P62</f>
        <v>764.51</v>
      </c>
      <c r="G63" s="1013">
        <f t="shared" si="3"/>
        <v>0</v>
      </c>
      <c r="H63" s="989">
        <f t="shared" si="4"/>
        <v>0</v>
      </c>
      <c r="I63" s="1023">
        <f t="shared" si="5"/>
        <v>0</v>
      </c>
      <c r="J63" s="989">
        <f t="shared" si="6"/>
        <v>0</v>
      </c>
      <c r="K63" s="989">
        <v>0</v>
      </c>
      <c r="L63" s="989">
        <f t="shared" si="7"/>
        <v>0</v>
      </c>
      <c r="M63" s="989">
        <f t="shared" si="8"/>
        <v>0</v>
      </c>
      <c r="N63" s="981">
        <f>'Table 5C1A-Madison Prep'!N63</f>
        <v>3107</v>
      </c>
      <c r="O63" s="983">
        <f t="shared" si="9"/>
        <v>0</v>
      </c>
      <c r="P63" s="1029">
        <f t="shared" si="10"/>
        <v>0</v>
      </c>
      <c r="Q63" s="983">
        <f t="shared" si="11"/>
        <v>0</v>
      </c>
      <c r="R63" s="983">
        <v>0</v>
      </c>
      <c r="S63" s="983">
        <f t="shared" si="12"/>
        <v>0</v>
      </c>
      <c r="T63" s="983">
        <f t="shared" si="13"/>
        <v>0</v>
      </c>
      <c r="U63" s="984">
        <f t="shared" si="14"/>
        <v>0</v>
      </c>
      <c r="V63" s="984">
        <f t="shared" si="14"/>
        <v>0</v>
      </c>
    </row>
    <row r="64" spans="1:22">
      <c r="A64" s="960">
        <v>58</v>
      </c>
      <c r="B64" s="961" t="s">
        <v>149</v>
      </c>
      <c r="C64" s="1081">
        <v>0</v>
      </c>
      <c r="D64" s="966">
        <f>'Table 3 Levels 1&amp;2'!AL65</f>
        <v>5457.8662803476354</v>
      </c>
      <c r="E64" s="1013">
        <f t="shared" si="2"/>
        <v>0</v>
      </c>
      <c r="F64" s="1013">
        <f>'Table 4 Level 3'!P63</f>
        <v>697.04</v>
      </c>
      <c r="G64" s="1013">
        <f t="shared" si="3"/>
        <v>0</v>
      </c>
      <c r="H64" s="989">
        <f t="shared" si="4"/>
        <v>0</v>
      </c>
      <c r="I64" s="1023">
        <f t="shared" si="5"/>
        <v>0</v>
      </c>
      <c r="J64" s="989">
        <f t="shared" si="6"/>
        <v>0</v>
      </c>
      <c r="K64" s="989">
        <v>0</v>
      </c>
      <c r="L64" s="989">
        <f t="shared" si="7"/>
        <v>0</v>
      </c>
      <c r="M64" s="989">
        <f t="shared" si="8"/>
        <v>0</v>
      </c>
      <c r="N64" s="981">
        <f>'Table 5C1A-Madison Prep'!N64</f>
        <v>2105</v>
      </c>
      <c r="O64" s="983">
        <f t="shared" si="9"/>
        <v>0</v>
      </c>
      <c r="P64" s="1029">
        <f t="shared" si="10"/>
        <v>0</v>
      </c>
      <c r="Q64" s="983">
        <f t="shared" si="11"/>
        <v>0</v>
      </c>
      <c r="R64" s="983">
        <v>0</v>
      </c>
      <c r="S64" s="983">
        <f t="shared" si="12"/>
        <v>0</v>
      </c>
      <c r="T64" s="983">
        <f t="shared" si="13"/>
        <v>0</v>
      </c>
      <c r="U64" s="984">
        <f t="shared" si="14"/>
        <v>0</v>
      </c>
      <c r="V64" s="984">
        <f t="shared" si="14"/>
        <v>0</v>
      </c>
    </row>
    <row r="65" spans="1:22">
      <c r="A65" s="960">
        <v>59</v>
      </c>
      <c r="B65" s="961" t="s">
        <v>150</v>
      </c>
      <c r="C65" s="1081">
        <v>0</v>
      </c>
      <c r="D65" s="966">
        <f>'Table 3 Levels 1&amp;2'!AL66</f>
        <v>6274.2786338006481</v>
      </c>
      <c r="E65" s="1013">
        <f t="shared" si="2"/>
        <v>0</v>
      </c>
      <c r="F65" s="1013">
        <f>'Table 4 Level 3'!P64</f>
        <v>689.52</v>
      </c>
      <c r="G65" s="1013">
        <f t="shared" si="3"/>
        <v>0</v>
      </c>
      <c r="H65" s="989">
        <f t="shared" si="4"/>
        <v>0</v>
      </c>
      <c r="I65" s="1023">
        <f t="shared" si="5"/>
        <v>0</v>
      </c>
      <c r="J65" s="989">
        <f t="shared" si="6"/>
        <v>0</v>
      </c>
      <c r="K65" s="989">
        <v>0</v>
      </c>
      <c r="L65" s="989">
        <f t="shared" si="7"/>
        <v>0</v>
      </c>
      <c r="M65" s="989">
        <f t="shared" si="8"/>
        <v>0</v>
      </c>
      <c r="N65" s="981">
        <f>'Table 5C1A-Madison Prep'!N65</f>
        <v>1510</v>
      </c>
      <c r="O65" s="983">
        <f t="shared" si="9"/>
        <v>0</v>
      </c>
      <c r="P65" s="1029">
        <f t="shared" si="10"/>
        <v>0</v>
      </c>
      <c r="Q65" s="983">
        <f t="shared" si="11"/>
        <v>0</v>
      </c>
      <c r="R65" s="983">
        <v>0</v>
      </c>
      <c r="S65" s="983">
        <f t="shared" si="12"/>
        <v>0</v>
      </c>
      <c r="T65" s="983">
        <f t="shared" si="13"/>
        <v>0</v>
      </c>
      <c r="U65" s="984">
        <f t="shared" si="14"/>
        <v>0</v>
      </c>
      <c r="V65" s="984">
        <f t="shared" si="14"/>
        <v>0</v>
      </c>
    </row>
    <row r="66" spans="1:22">
      <c r="A66" s="963">
        <v>60</v>
      </c>
      <c r="B66" s="964" t="s">
        <v>151</v>
      </c>
      <c r="C66" s="1082">
        <v>0</v>
      </c>
      <c r="D66" s="967">
        <f>'Table 3 Levels 1&amp;2'!AL67</f>
        <v>4940.9166775610411</v>
      </c>
      <c r="E66" s="1014">
        <f t="shared" si="2"/>
        <v>0</v>
      </c>
      <c r="F66" s="1014">
        <f>'Table 4 Level 3'!P65</f>
        <v>594.04</v>
      </c>
      <c r="G66" s="1014">
        <f t="shared" si="3"/>
        <v>0</v>
      </c>
      <c r="H66" s="990">
        <f t="shared" si="4"/>
        <v>0</v>
      </c>
      <c r="I66" s="1024">
        <f t="shared" si="5"/>
        <v>0</v>
      </c>
      <c r="J66" s="990">
        <f t="shared" si="6"/>
        <v>0</v>
      </c>
      <c r="K66" s="990">
        <v>0</v>
      </c>
      <c r="L66" s="990">
        <f t="shared" si="7"/>
        <v>0</v>
      </c>
      <c r="M66" s="990">
        <f t="shared" si="8"/>
        <v>0</v>
      </c>
      <c r="N66" s="986">
        <f>'Table 5C1A-Madison Prep'!N66</f>
        <v>3793</v>
      </c>
      <c r="O66" s="987">
        <f t="shared" si="9"/>
        <v>0</v>
      </c>
      <c r="P66" s="1030">
        <f t="shared" si="10"/>
        <v>0</v>
      </c>
      <c r="Q66" s="987">
        <f t="shared" si="11"/>
        <v>0</v>
      </c>
      <c r="R66" s="987">
        <v>0</v>
      </c>
      <c r="S66" s="987">
        <f t="shared" si="12"/>
        <v>0</v>
      </c>
      <c r="T66" s="987">
        <f t="shared" si="13"/>
        <v>0</v>
      </c>
      <c r="U66" s="988">
        <f t="shared" si="14"/>
        <v>0</v>
      </c>
      <c r="V66" s="988">
        <f t="shared" si="14"/>
        <v>0</v>
      </c>
    </row>
    <row r="67" spans="1:22">
      <c r="A67" s="953">
        <v>61</v>
      </c>
      <c r="B67" s="954" t="s">
        <v>152</v>
      </c>
      <c r="C67" s="1083">
        <v>0</v>
      </c>
      <c r="D67" s="968">
        <f>'Table 3 Levels 1&amp;2'!AL68</f>
        <v>2908.0344869339228</v>
      </c>
      <c r="E67" s="1015">
        <f t="shared" si="2"/>
        <v>0</v>
      </c>
      <c r="F67" s="1015">
        <f>'Table 4 Level 3'!P66</f>
        <v>833.70999999999992</v>
      </c>
      <c r="G67" s="1015">
        <f t="shared" si="3"/>
        <v>0</v>
      </c>
      <c r="H67" s="991">
        <f t="shared" si="4"/>
        <v>0</v>
      </c>
      <c r="I67" s="1025">
        <f t="shared" si="5"/>
        <v>0</v>
      </c>
      <c r="J67" s="991">
        <f t="shared" si="6"/>
        <v>0</v>
      </c>
      <c r="K67" s="991">
        <v>0</v>
      </c>
      <c r="L67" s="991">
        <f t="shared" si="7"/>
        <v>0</v>
      </c>
      <c r="M67" s="991">
        <f t="shared" si="8"/>
        <v>0</v>
      </c>
      <c r="N67" s="981">
        <f>'Table 5C1A-Madison Prep'!N67</f>
        <v>6570</v>
      </c>
      <c r="O67" s="958">
        <f t="shared" si="9"/>
        <v>0</v>
      </c>
      <c r="P67" s="1028">
        <f t="shared" si="10"/>
        <v>0</v>
      </c>
      <c r="Q67" s="958">
        <f t="shared" si="11"/>
        <v>0</v>
      </c>
      <c r="R67" s="958">
        <v>0</v>
      </c>
      <c r="S67" s="958">
        <f t="shared" si="12"/>
        <v>0</v>
      </c>
      <c r="T67" s="958">
        <f t="shared" si="13"/>
        <v>0</v>
      </c>
      <c r="U67" s="959">
        <f t="shared" si="14"/>
        <v>0</v>
      </c>
      <c r="V67" s="959">
        <f t="shared" si="14"/>
        <v>0</v>
      </c>
    </row>
    <row r="68" spans="1:22">
      <c r="A68" s="960">
        <v>62</v>
      </c>
      <c r="B68" s="961" t="s">
        <v>153</v>
      </c>
      <c r="C68" s="1081">
        <v>0</v>
      </c>
      <c r="D68" s="966">
        <f>'Table 3 Levels 1&amp;2'!AL69</f>
        <v>5652.1730736722093</v>
      </c>
      <c r="E68" s="1013">
        <f t="shared" si="2"/>
        <v>0</v>
      </c>
      <c r="F68" s="1013">
        <f>'Table 4 Level 3'!P67</f>
        <v>516.08000000000004</v>
      </c>
      <c r="G68" s="1013">
        <f t="shared" si="3"/>
        <v>0</v>
      </c>
      <c r="H68" s="989">
        <f t="shared" si="4"/>
        <v>0</v>
      </c>
      <c r="I68" s="1023">
        <f t="shared" si="5"/>
        <v>0</v>
      </c>
      <c r="J68" s="989">
        <f t="shared" si="6"/>
        <v>0</v>
      </c>
      <c r="K68" s="989">
        <v>0</v>
      </c>
      <c r="L68" s="989">
        <f t="shared" si="7"/>
        <v>0</v>
      </c>
      <c r="M68" s="989">
        <f t="shared" si="8"/>
        <v>0</v>
      </c>
      <c r="N68" s="981">
        <f>'Table 5C1A-Madison Prep'!N68</f>
        <v>1934</v>
      </c>
      <c r="O68" s="983">
        <f t="shared" si="9"/>
        <v>0</v>
      </c>
      <c r="P68" s="1029">
        <f t="shared" si="10"/>
        <v>0</v>
      </c>
      <c r="Q68" s="983">
        <f t="shared" si="11"/>
        <v>0</v>
      </c>
      <c r="R68" s="983">
        <v>0</v>
      </c>
      <c r="S68" s="983">
        <f t="shared" si="12"/>
        <v>0</v>
      </c>
      <c r="T68" s="983">
        <f t="shared" si="13"/>
        <v>0</v>
      </c>
      <c r="U68" s="984">
        <f t="shared" si="14"/>
        <v>0</v>
      </c>
      <c r="V68" s="984">
        <f t="shared" si="14"/>
        <v>0</v>
      </c>
    </row>
    <row r="69" spans="1:22">
      <c r="A69" s="960">
        <v>63</v>
      </c>
      <c r="B69" s="961" t="s">
        <v>154</v>
      </c>
      <c r="C69" s="1081">
        <v>0</v>
      </c>
      <c r="D69" s="966">
        <f>'Table 3 Levels 1&amp;2'!AL70</f>
        <v>4362.300753810403</v>
      </c>
      <c r="E69" s="1013">
        <f t="shared" si="2"/>
        <v>0</v>
      </c>
      <c r="F69" s="1013">
        <f>'Table 4 Level 3'!P68</f>
        <v>756.79</v>
      </c>
      <c r="G69" s="1013">
        <f t="shared" si="3"/>
        <v>0</v>
      </c>
      <c r="H69" s="989">
        <f t="shared" si="4"/>
        <v>0</v>
      </c>
      <c r="I69" s="1023">
        <f t="shared" si="5"/>
        <v>0</v>
      </c>
      <c r="J69" s="989">
        <f t="shared" si="6"/>
        <v>0</v>
      </c>
      <c r="K69" s="989">
        <v>0</v>
      </c>
      <c r="L69" s="989">
        <f t="shared" si="7"/>
        <v>0</v>
      </c>
      <c r="M69" s="989">
        <f t="shared" si="8"/>
        <v>0</v>
      </c>
      <c r="N69" s="981">
        <f>'Table 5C1A-Madison Prep'!N69</f>
        <v>6787</v>
      </c>
      <c r="O69" s="983">
        <f t="shared" si="9"/>
        <v>0</v>
      </c>
      <c r="P69" s="1029">
        <f t="shared" si="10"/>
        <v>0</v>
      </c>
      <c r="Q69" s="983">
        <f t="shared" si="11"/>
        <v>0</v>
      </c>
      <c r="R69" s="983">
        <v>0</v>
      </c>
      <c r="S69" s="983">
        <f t="shared" si="12"/>
        <v>0</v>
      </c>
      <c r="T69" s="983">
        <f t="shared" si="13"/>
        <v>0</v>
      </c>
      <c r="U69" s="984">
        <f t="shared" si="14"/>
        <v>0</v>
      </c>
      <c r="V69" s="984">
        <f t="shared" si="14"/>
        <v>0</v>
      </c>
    </row>
    <row r="70" spans="1:22">
      <c r="A70" s="960">
        <v>64</v>
      </c>
      <c r="B70" s="961" t="s">
        <v>155</v>
      </c>
      <c r="C70" s="1081">
        <v>0</v>
      </c>
      <c r="D70" s="966">
        <f>'Table 3 Levels 1&amp;2'!AL71</f>
        <v>5960.2049072003338</v>
      </c>
      <c r="E70" s="1013">
        <f t="shared" si="2"/>
        <v>0</v>
      </c>
      <c r="F70" s="1013">
        <f>'Table 4 Level 3'!P69</f>
        <v>592.66</v>
      </c>
      <c r="G70" s="1013">
        <f t="shared" si="3"/>
        <v>0</v>
      </c>
      <c r="H70" s="989">
        <f t="shared" si="4"/>
        <v>0</v>
      </c>
      <c r="I70" s="1023">
        <f t="shared" si="5"/>
        <v>0</v>
      </c>
      <c r="J70" s="989">
        <f t="shared" si="6"/>
        <v>0</v>
      </c>
      <c r="K70" s="989">
        <v>0</v>
      </c>
      <c r="L70" s="989">
        <f t="shared" si="7"/>
        <v>0</v>
      </c>
      <c r="M70" s="989">
        <f t="shared" si="8"/>
        <v>0</v>
      </c>
      <c r="N70" s="981">
        <f>'Table 5C1A-Madison Prep'!N70</f>
        <v>2901</v>
      </c>
      <c r="O70" s="983">
        <f t="shared" si="9"/>
        <v>0</v>
      </c>
      <c r="P70" s="1029">
        <f t="shared" si="10"/>
        <v>0</v>
      </c>
      <c r="Q70" s="983">
        <f t="shared" si="11"/>
        <v>0</v>
      </c>
      <c r="R70" s="983">
        <v>0</v>
      </c>
      <c r="S70" s="983">
        <f t="shared" si="12"/>
        <v>0</v>
      </c>
      <c r="T70" s="983">
        <f t="shared" si="13"/>
        <v>0</v>
      </c>
      <c r="U70" s="984">
        <f t="shared" si="14"/>
        <v>0</v>
      </c>
      <c r="V70" s="984">
        <f t="shared" si="14"/>
        <v>0</v>
      </c>
    </row>
    <row r="71" spans="1:22">
      <c r="A71" s="963">
        <v>65</v>
      </c>
      <c r="B71" s="964" t="s">
        <v>156</v>
      </c>
      <c r="C71" s="1082">
        <v>0</v>
      </c>
      <c r="D71" s="967">
        <f>'Table 3 Levels 1&amp;2'!AL72</f>
        <v>4579.2772303106676</v>
      </c>
      <c r="E71" s="1014">
        <f t="shared" si="2"/>
        <v>0</v>
      </c>
      <c r="F71" s="1014">
        <f>'Table 4 Level 3'!P70</f>
        <v>829.12</v>
      </c>
      <c r="G71" s="1014">
        <f t="shared" si="3"/>
        <v>0</v>
      </c>
      <c r="H71" s="990">
        <f t="shared" si="4"/>
        <v>0</v>
      </c>
      <c r="I71" s="1024">
        <f t="shared" si="5"/>
        <v>0</v>
      </c>
      <c r="J71" s="990">
        <f t="shared" si="6"/>
        <v>0</v>
      </c>
      <c r="K71" s="990">
        <v>0</v>
      </c>
      <c r="L71" s="990">
        <f t="shared" si="7"/>
        <v>0</v>
      </c>
      <c r="M71" s="990">
        <f t="shared" si="8"/>
        <v>0</v>
      </c>
      <c r="N71" s="986">
        <f>'Table 5C1A-Madison Prep'!N71</f>
        <v>5001</v>
      </c>
      <c r="O71" s="987">
        <f t="shared" si="9"/>
        <v>0</v>
      </c>
      <c r="P71" s="1030">
        <f t="shared" si="10"/>
        <v>0</v>
      </c>
      <c r="Q71" s="987">
        <f t="shared" si="11"/>
        <v>0</v>
      </c>
      <c r="R71" s="987">
        <v>0</v>
      </c>
      <c r="S71" s="987">
        <f t="shared" si="12"/>
        <v>0</v>
      </c>
      <c r="T71" s="987">
        <f t="shared" si="13"/>
        <v>0</v>
      </c>
      <c r="U71" s="988">
        <f t="shared" si="14"/>
        <v>0</v>
      </c>
      <c r="V71" s="988">
        <f t="shared" si="14"/>
        <v>0</v>
      </c>
    </row>
    <row r="72" spans="1:22">
      <c r="A72" s="953">
        <v>66</v>
      </c>
      <c r="B72" s="954" t="s">
        <v>157</v>
      </c>
      <c r="C72" s="1083">
        <v>0</v>
      </c>
      <c r="D72" s="968">
        <f>'Table 3 Levels 1&amp;2'!AL73</f>
        <v>6370.8108195713585</v>
      </c>
      <c r="E72" s="1015">
        <f t="shared" ref="E72:E75" si="15">C72*D72</f>
        <v>0</v>
      </c>
      <c r="F72" s="1015">
        <f>'Table 4 Level 3'!P71</f>
        <v>730.06</v>
      </c>
      <c r="G72" s="1015">
        <f t="shared" ref="G72:G75" si="16">C72*F72</f>
        <v>0</v>
      </c>
      <c r="H72" s="991">
        <f t="shared" ref="H72:H75" si="17">E72+G72</f>
        <v>0</v>
      </c>
      <c r="I72" s="1025">
        <f t="shared" ref="I72:I75" si="18">-(0.25%*H72)</f>
        <v>0</v>
      </c>
      <c r="J72" s="991">
        <f t="shared" ref="J72:J75" si="19">SUM(H72:I72)</f>
        <v>0</v>
      </c>
      <c r="K72" s="991">
        <v>0</v>
      </c>
      <c r="L72" s="991">
        <f t="shared" ref="L72:L75" si="20">SUM(J72:K72)</f>
        <v>0</v>
      </c>
      <c r="M72" s="991">
        <f t="shared" ref="M72:M75" si="21">L72/12</f>
        <v>0</v>
      </c>
      <c r="N72" s="981">
        <f>'Table 5C1A-Madison Prep'!N72</f>
        <v>3415</v>
      </c>
      <c r="O72" s="958">
        <f t="shared" ref="O72:O75" si="22">C72*N72</f>
        <v>0</v>
      </c>
      <c r="P72" s="1028">
        <f t="shared" ref="P72:P75" si="23">-(0.25%*O72)</f>
        <v>0</v>
      </c>
      <c r="Q72" s="958">
        <f t="shared" ref="Q72:Q75" si="24">SUM(O72:P72)</f>
        <v>0</v>
      </c>
      <c r="R72" s="958">
        <v>0</v>
      </c>
      <c r="S72" s="958">
        <f t="shared" ref="S72:S75" si="25">SUM(Q72:R72)</f>
        <v>0</v>
      </c>
      <c r="T72" s="958">
        <f t="shared" ref="T72:T75" si="26">S72/12</f>
        <v>0</v>
      </c>
      <c r="U72" s="959">
        <f t="shared" ref="U72:V75" si="27">L72+S72</f>
        <v>0</v>
      </c>
      <c r="V72" s="959">
        <f t="shared" si="27"/>
        <v>0</v>
      </c>
    </row>
    <row r="73" spans="1:22">
      <c r="A73" s="960">
        <v>67</v>
      </c>
      <c r="B73" s="961" t="s">
        <v>32</v>
      </c>
      <c r="C73" s="1081">
        <v>0</v>
      </c>
      <c r="D73" s="966">
        <f>'Table 3 Levels 1&amp;2'!AL74</f>
        <v>4951.6009932106244</v>
      </c>
      <c r="E73" s="1013">
        <f t="shared" si="15"/>
        <v>0</v>
      </c>
      <c r="F73" s="1013">
        <f>'Table 4 Level 3'!P72</f>
        <v>715.61</v>
      </c>
      <c r="G73" s="1013">
        <f t="shared" si="16"/>
        <v>0</v>
      </c>
      <c r="H73" s="989">
        <f t="shared" si="17"/>
        <v>0</v>
      </c>
      <c r="I73" s="1023">
        <f t="shared" si="18"/>
        <v>0</v>
      </c>
      <c r="J73" s="989">
        <f t="shared" si="19"/>
        <v>0</v>
      </c>
      <c r="K73" s="989">
        <v>0</v>
      </c>
      <c r="L73" s="989">
        <f t="shared" si="20"/>
        <v>0</v>
      </c>
      <c r="M73" s="989">
        <f t="shared" si="21"/>
        <v>0</v>
      </c>
      <c r="N73" s="981">
        <f>'Table 5C1A-Madison Prep'!N73</f>
        <v>5221</v>
      </c>
      <c r="O73" s="983">
        <f t="shared" si="22"/>
        <v>0</v>
      </c>
      <c r="P73" s="1029">
        <f t="shared" si="23"/>
        <v>0</v>
      </c>
      <c r="Q73" s="983">
        <f t="shared" si="24"/>
        <v>0</v>
      </c>
      <c r="R73" s="983">
        <v>0</v>
      </c>
      <c r="S73" s="983">
        <f t="shared" si="25"/>
        <v>0</v>
      </c>
      <c r="T73" s="983">
        <f t="shared" si="26"/>
        <v>0</v>
      </c>
      <c r="U73" s="984">
        <f t="shared" si="27"/>
        <v>0</v>
      </c>
      <c r="V73" s="984">
        <f t="shared" si="27"/>
        <v>0</v>
      </c>
    </row>
    <row r="74" spans="1:22">
      <c r="A74" s="960">
        <v>68</v>
      </c>
      <c r="B74" s="961" t="s">
        <v>30</v>
      </c>
      <c r="C74" s="1081">
        <v>0</v>
      </c>
      <c r="D74" s="966">
        <f>'Table 3 Levels 1&amp;2'!AL75</f>
        <v>6077.2398733698947</v>
      </c>
      <c r="E74" s="1013">
        <f t="shared" si="15"/>
        <v>0</v>
      </c>
      <c r="F74" s="1013">
        <f>'Table 4 Level 3'!P73</f>
        <v>798.7</v>
      </c>
      <c r="G74" s="1013">
        <f t="shared" si="16"/>
        <v>0</v>
      </c>
      <c r="H74" s="989">
        <f t="shared" si="17"/>
        <v>0</v>
      </c>
      <c r="I74" s="1023">
        <f t="shared" si="18"/>
        <v>0</v>
      </c>
      <c r="J74" s="989">
        <f t="shared" si="19"/>
        <v>0</v>
      </c>
      <c r="K74" s="989">
        <v>0</v>
      </c>
      <c r="L74" s="989">
        <f t="shared" si="20"/>
        <v>0</v>
      </c>
      <c r="M74" s="989">
        <f t="shared" si="21"/>
        <v>0</v>
      </c>
      <c r="N74" s="981">
        <f>'Table 5C1A-Madison Prep'!N74</f>
        <v>2680</v>
      </c>
      <c r="O74" s="983">
        <f t="shared" si="22"/>
        <v>0</v>
      </c>
      <c r="P74" s="1029">
        <f t="shared" si="23"/>
        <v>0</v>
      </c>
      <c r="Q74" s="983">
        <f t="shared" si="24"/>
        <v>0</v>
      </c>
      <c r="R74" s="983">
        <v>0</v>
      </c>
      <c r="S74" s="983">
        <f t="shared" si="25"/>
        <v>0</v>
      </c>
      <c r="T74" s="983">
        <f t="shared" si="26"/>
        <v>0</v>
      </c>
      <c r="U74" s="984">
        <f t="shared" si="27"/>
        <v>0</v>
      </c>
      <c r="V74" s="984">
        <f t="shared" si="27"/>
        <v>0</v>
      </c>
    </row>
    <row r="75" spans="1:22">
      <c r="A75" s="969">
        <v>69</v>
      </c>
      <c r="B75" s="970" t="s">
        <v>208</v>
      </c>
      <c r="C75" s="1084">
        <v>0</v>
      </c>
      <c r="D75" s="971">
        <f>'Table 3 Levels 1&amp;2'!AL76</f>
        <v>5585.8253106686579</v>
      </c>
      <c r="E75" s="1016">
        <f t="shared" si="15"/>
        <v>0</v>
      </c>
      <c r="F75" s="1016">
        <f>'Table 4 Level 3'!P74</f>
        <v>705.67</v>
      </c>
      <c r="G75" s="1016">
        <f t="shared" si="16"/>
        <v>0</v>
      </c>
      <c r="H75" s="992">
        <f t="shared" si="17"/>
        <v>0</v>
      </c>
      <c r="I75" s="1026">
        <f t="shared" si="18"/>
        <v>0</v>
      </c>
      <c r="J75" s="992">
        <f t="shared" si="19"/>
        <v>0</v>
      </c>
      <c r="K75" s="992">
        <v>0</v>
      </c>
      <c r="L75" s="992">
        <f t="shared" si="20"/>
        <v>0</v>
      </c>
      <c r="M75" s="992">
        <f t="shared" si="21"/>
        <v>0</v>
      </c>
      <c r="N75" s="981">
        <f>'Table 5C1A-Madison Prep'!N75</f>
        <v>3263</v>
      </c>
      <c r="O75" s="993">
        <f t="shared" si="22"/>
        <v>0</v>
      </c>
      <c r="P75" s="1031">
        <f t="shared" si="23"/>
        <v>0</v>
      </c>
      <c r="Q75" s="993">
        <f t="shared" si="24"/>
        <v>0</v>
      </c>
      <c r="R75" s="993">
        <v>0</v>
      </c>
      <c r="S75" s="993">
        <f t="shared" si="25"/>
        <v>0</v>
      </c>
      <c r="T75" s="993">
        <f t="shared" si="26"/>
        <v>0</v>
      </c>
      <c r="U75" s="994">
        <f t="shared" si="27"/>
        <v>0</v>
      </c>
      <c r="V75" s="994">
        <f t="shared" si="27"/>
        <v>0</v>
      </c>
    </row>
    <row r="76" spans="1:22" ht="13.5" thickBot="1">
      <c r="A76" s="972"/>
      <c r="B76" s="973" t="s">
        <v>158</v>
      </c>
      <c r="C76" s="974">
        <f>SUM(C7:C75)</f>
        <v>138</v>
      </c>
      <c r="D76" s="975"/>
      <c r="E76" s="1017">
        <f>SUM(E7:E75)</f>
        <v>490174.06026554783</v>
      </c>
      <c r="F76" s="1017">
        <f>'[17]Table 4 Level 3'!P75</f>
        <v>703.90028204588873</v>
      </c>
      <c r="G76" s="1017">
        <f t="shared" ref="G76:L76" si="28">SUM(G7:G75)</f>
        <v>104651.63865848747</v>
      </c>
      <c r="H76" s="976">
        <f t="shared" si="28"/>
        <v>594825.6989240353</v>
      </c>
      <c r="I76" s="1027">
        <f t="shared" si="28"/>
        <v>-1487.0642473100884</v>
      </c>
      <c r="J76" s="976">
        <f t="shared" si="28"/>
        <v>593338.63467672525</v>
      </c>
      <c r="K76" s="976">
        <f t="shared" si="28"/>
        <v>0</v>
      </c>
      <c r="L76" s="976">
        <f t="shared" si="28"/>
        <v>593338.63467672525</v>
      </c>
      <c r="M76" s="976">
        <f>SUM(M7:M75)</f>
        <v>49444.886223060443</v>
      </c>
      <c r="N76" s="995">
        <f>'Table 5C1A-Madison Prep'!N76</f>
        <v>4503</v>
      </c>
      <c r="O76" s="977">
        <f t="shared" ref="O76:V76" si="29">SUM(O7:O75)</f>
        <v>876176</v>
      </c>
      <c r="P76" s="1032">
        <f t="shared" si="29"/>
        <v>-2190.4400000000005</v>
      </c>
      <c r="Q76" s="977">
        <f t="shared" si="29"/>
        <v>873985.56</v>
      </c>
      <c r="R76" s="977">
        <f t="shared" si="29"/>
        <v>0</v>
      </c>
      <c r="S76" s="977">
        <f t="shared" si="29"/>
        <v>873985.56</v>
      </c>
      <c r="T76" s="977">
        <f t="shared" si="29"/>
        <v>72832.13</v>
      </c>
      <c r="U76" s="978">
        <f t="shared" si="29"/>
        <v>1467324.1946767254</v>
      </c>
      <c r="V76" s="978">
        <f t="shared" si="29"/>
        <v>122277.01622306045</v>
      </c>
    </row>
    <row r="77" spans="1:22" ht="13.5" thickTop="1"/>
  </sheetData>
  <mergeCells count="19">
    <mergeCell ref="U2:U4"/>
    <mergeCell ref="V2:V4"/>
    <mergeCell ref="C3:C4"/>
    <mergeCell ref="D3:D4"/>
    <mergeCell ref="E3:E4"/>
    <mergeCell ref="F3:F4"/>
    <mergeCell ref="G3:G4"/>
    <mergeCell ref="Q3:Q4"/>
    <mergeCell ref="R3:R4"/>
    <mergeCell ref="S3:S4"/>
    <mergeCell ref="H3:H4"/>
    <mergeCell ref="J3:J4"/>
    <mergeCell ref="K3:K4"/>
    <mergeCell ref="L3:L4"/>
    <mergeCell ref="M3:M4"/>
    <mergeCell ref="N3:N4"/>
    <mergeCell ref="A2:B4"/>
    <mergeCell ref="C2:M2"/>
    <mergeCell ref="N2:T2"/>
  </mergeCells>
  <pageMargins left="0.34" right="0.46" top="0.75" bottom="0.75" header="0.3" footer="0.3"/>
  <pageSetup paperSize="5" scale="60" firstPageNumber="64" orientation="portrait" useFirstPageNumber="1" r:id="rId1"/>
  <headerFooter>
    <oddHeader>&amp;L&amp;"Arial,Bold"&amp;20Table 5C1-I: FY2013-14 MFP Budget Letter 
Louisiana Key Academy</oddHeader>
    <oddFooter>&amp;R&amp;P</oddFooter>
  </headerFooter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7"/>
  <sheetViews>
    <sheetView view="pageBreakPreview" zoomScaleNormal="75" zoomScaleSheetLayoutView="100" workbookViewId="0">
      <pane xSplit="2" ySplit="6" topLeftCell="C64" activePane="bottomRight" state="frozen"/>
      <selection activeCell="B3" sqref="B3:B5"/>
      <selection pane="topRight" activeCell="B3" sqref="B3:B5"/>
      <selection pane="bottomLeft" activeCell="B3" sqref="B3:B5"/>
      <selection pane="bottomRight" activeCell="AF42" sqref="AF42:AZ42"/>
    </sheetView>
  </sheetViews>
  <sheetFormatPr defaultRowHeight="12.75"/>
  <cols>
    <col min="1" max="1" width="4.140625" customWidth="1"/>
    <col min="2" max="2" width="17.28515625" customWidth="1"/>
    <col min="3" max="3" width="19.140625" customWidth="1"/>
    <col min="4" max="4" width="14.85546875" customWidth="1"/>
    <col min="5" max="5" width="15.28515625" customWidth="1"/>
    <col min="6" max="6" width="15.5703125" customWidth="1"/>
    <col min="7" max="7" width="15" customWidth="1"/>
    <col min="8" max="8" width="16.140625" customWidth="1"/>
    <col min="9" max="9" width="13.28515625" customWidth="1"/>
    <col min="10" max="17" width="11.7109375" customWidth="1"/>
    <col min="18" max="18" width="11.7109375" bestFit="1" customWidth="1"/>
    <col min="19" max="19" width="12.140625" bestFit="1" customWidth="1"/>
    <col min="20" max="20" width="13.42578125" bestFit="1" customWidth="1"/>
    <col min="21" max="21" width="15" bestFit="1" customWidth="1"/>
    <col min="22" max="22" width="12.7109375" bestFit="1" customWidth="1"/>
    <col min="23" max="23" width="10.140625" bestFit="1" customWidth="1"/>
    <col min="24" max="24" width="15" bestFit="1" customWidth="1"/>
    <col min="25" max="25" width="1.85546875" customWidth="1"/>
    <col min="26" max="26" width="12.42578125" style="35" customWidth="1"/>
    <col min="27" max="27" width="15.42578125" hidden="1" customWidth="1"/>
    <col min="28" max="28" width="14.5703125" hidden="1" customWidth="1"/>
    <col min="29" max="29" width="13.140625" hidden="1" customWidth="1"/>
    <col min="30" max="30" width="12" hidden="1" customWidth="1"/>
    <col min="31" max="32" width="9.140625" hidden="1" customWidth="1"/>
  </cols>
  <sheetData>
    <row r="1" spans="1:31" ht="21" customHeight="1">
      <c r="D1" s="1570" t="s">
        <v>604</v>
      </c>
      <c r="E1" s="1571"/>
      <c r="F1" s="1571"/>
      <c r="G1" s="1571"/>
      <c r="H1" s="1572"/>
      <c r="W1" s="1357"/>
    </row>
    <row r="2" spans="1:31" ht="12.75" customHeight="1" thickBot="1">
      <c r="A2" s="1576" t="s">
        <v>185</v>
      </c>
      <c r="B2" s="1586" t="s">
        <v>246</v>
      </c>
      <c r="C2" s="1580" t="s">
        <v>740</v>
      </c>
      <c r="D2" s="1583" t="s">
        <v>965</v>
      </c>
      <c r="E2" s="1583" t="s">
        <v>966</v>
      </c>
      <c r="F2" s="1583" t="s">
        <v>540</v>
      </c>
      <c r="G2" s="1579" t="s">
        <v>247</v>
      </c>
      <c r="H2" s="1579"/>
      <c r="I2" s="1562" t="s">
        <v>606</v>
      </c>
      <c r="J2" s="1562" t="s">
        <v>607</v>
      </c>
      <c r="K2" s="1562" t="s">
        <v>608</v>
      </c>
      <c r="L2" s="1562" t="s">
        <v>609</v>
      </c>
      <c r="M2" s="1562" t="s">
        <v>610</v>
      </c>
      <c r="N2" s="1562" t="s">
        <v>611</v>
      </c>
      <c r="O2" s="1562" t="s">
        <v>612</v>
      </c>
      <c r="P2" s="1562" t="s">
        <v>613</v>
      </c>
      <c r="Q2" s="1562" t="s">
        <v>614</v>
      </c>
      <c r="R2" s="1562" t="s">
        <v>615</v>
      </c>
      <c r="S2" s="1562" t="s">
        <v>616</v>
      </c>
      <c r="T2" s="1573" t="s">
        <v>617</v>
      </c>
      <c r="U2" s="1558" t="s">
        <v>728</v>
      </c>
      <c r="V2" s="1558" t="s">
        <v>565</v>
      </c>
      <c r="W2" s="1559" t="s">
        <v>566</v>
      </c>
      <c r="X2" s="1558" t="s">
        <v>981</v>
      </c>
      <c r="Y2" s="1262"/>
      <c r="Z2" s="1569"/>
      <c r="AA2" s="1569"/>
    </row>
    <row r="3" spans="1:31" ht="28.5" customHeight="1" thickBot="1">
      <c r="A3" s="1577"/>
      <c r="B3" s="1577"/>
      <c r="C3" s="1581"/>
      <c r="D3" s="1584"/>
      <c r="E3" s="1584"/>
      <c r="F3" s="1584"/>
      <c r="G3" s="1579"/>
      <c r="H3" s="1579"/>
      <c r="I3" s="1562"/>
      <c r="J3" s="1562"/>
      <c r="K3" s="1562"/>
      <c r="L3" s="1562"/>
      <c r="M3" s="1562"/>
      <c r="N3" s="1562"/>
      <c r="O3" s="1562"/>
      <c r="P3" s="1562"/>
      <c r="Q3" s="1562"/>
      <c r="R3" s="1562"/>
      <c r="S3" s="1562"/>
      <c r="T3" s="1574"/>
      <c r="U3" s="1558"/>
      <c r="V3" s="1558"/>
      <c r="W3" s="1560"/>
      <c r="X3" s="1558"/>
      <c r="Y3" s="1262"/>
      <c r="Z3" s="1569"/>
      <c r="AA3" s="1569"/>
      <c r="AC3" s="1563" t="s">
        <v>533</v>
      </c>
      <c r="AD3" s="1564"/>
      <c r="AE3" s="1565"/>
    </row>
    <row r="4" spans="1:31" ht="91.5" customHeight="1">
      <c r="A4" s="1577"/>
      <c r="B4" s="1577"/>
      <c r="C4" s="1581"/>
      <c r="D4" s="1584"/>
      <c r="E4" s="1584"/>
      <c r="F4" s="1584"/>
      <c r="G4" s="1579" t="s">
        <v>248</v>
      </c>
      <c r="H4" s="1579" t="s">
        <v>249</v>
      </c>
      <c r="I4" s="1562"/>
      <c r="J4" s="1562"/>
      <c r="K4" s="1562"/>
      <c r="L4" s="1562"/>
      <c r="M4" s="1562"/>
      <c r="N4" s="1562"/>
      <c r="O4" s="1562"/>
      <c r="P4" s="1562"/>
      <c r="Q4" s="1562"/>
      <c r="R4" s="1562"/>
      <c r="S4" s="1562"/>
      <c r="T4" s="1574"/>
      <c r="U4" s="1558"/>
      <c r="V4" s="1558"/>
      <c r="W4" s="1560"/>
      <c r="X4" s="1558"/>
      <c r="Y4" s="1262"/>
      <c r="Z4" s="1569"/>
      <c r="AA4" s="1569"/>
      <c r="AD4" s="1566" t="s">
        <v>534</v>
      </c>
    </row>
    <row r="5" spans="1:31" ht="26.25" customHeight="1">
      <c r="A5" s="1578"/>
      <c r="B5" s="1578"/>
      <c r="C5" s="1582"/>
      <c r="D5" s="1585"/>
      <c r="E5" s="1585"/>
      <c r="F5" s="1585"/>
      <c r="G5" s="1579"/>
      <c r="H5" s="1579"/>
      <c r="I5" s="1562"/>
      <c r="J5" s="1562"/>
      <c r="K5" s="1562"/>
      <c r="L5" s="1562"/>
      <c r="M5" s="1562"/>
      <c r="N5" s="1562"/>
      <c r="O5" s="1562"/>
      <c r="P5" s="1562"/>
      <c r="Q5" s="1562"/>
      <c r="R5" s="1562"/>
      <c r="S5" s="1562"/>
      <c r="T5" s="1575"/>
      <c r="U5" s="1558"/>
      <c r="V5" s="1558"/>
      <c r="W5" s="1561"/>
      <c r="X5" s="1558"/>
      <c r="Y5" s="1262"/>
      <c r="Z5" s="1569"/>
      <c r="AA5" s="1569"/>
      <c r="AD5" s="1567"/>
    </row>
    <row r="6" spans="1:31" s="47" customFormat="1" ht="13.5" thickBot="1">
      <c r="A6" s="345"/>
      <c r="B6" s="346"/>
      <c r="C6" s="309">
        <f t="shared" ref="C6:I6" si="0">B6+1</f>
        <v>1</v>
      </c>
      <c r="D6" s="309">
        <f t="shared" si="0"/>
        <v>2</v>
      </c>
      <c r="E6" s="309">
        <f t="shared" si="0"/>
        <v>3</v>
      </c>
      <c r="F6" s="309">
        <f t="shared" si="0"/>
        <v>4</v>
      </c>
      <c r="G6" s="309">
        <f t="shared" si="0"/>
        <v>5</v>
      </c>
      <c r="H6" s="309">
        <f t="shared" si="0"/>
        <v>6</v>
      </c>
      <c r="I6" s="309">
        <f t="shared" si="0"/>
        <v>7</v>
      </c>
      <c r="J6" s="309">
        <f>I6+1</f>
        <v>8</v>
      </c>
      <c r="K6" s="309">
        <f t="shared" ref="K6:O6" si="1">J6+1</f>
        <v>9</v>
      </c>
      <c r="L6" s="309">
        <f t="shared" si="1"/>
        <v>10</v>
      </c>
      <c r="M6" s="309">
        <f t="shared" si="1"/>
        <v>11</v>
      </c>
      <c r="N6" s="309">
        <f t="shared" si="1"/>
        <v>12</v>
      </c>
      <c r="O6" s="309">
        <f t="shared" si="1"/>
        <v>13</v>
      </c>
      <c r="P6" s="309">
        <f t="shared" ref="P6" si="2">O6+1</f>
        <v>14</v>
      </c>
      <c r="Q6" s="309">
        <f t="shared" ref="Q6" si="3">P6+1</f>
        <v>15</v>
      </c>
      <c r="R6" s="309">
        <f t="shared" ref="R6" si="4">Q6+1</f>
        <v>16</v>
      </c>
      <c r="S6" s="309">
        <f t="shared" ref="S6" si="5">R6+1</f>
        <v>17</v>
      </c>
      <c r="T6" s="309">
        <f t="shared" ref="T6" si="6">S6+1</f>
        <v>18</v>
      </c>
      <c r="U6" s="309">
        <f t="shared" ref="U6" si="7">T6+1</f>
        <v>19</v>
      </c>
      <c r="V6" s="309">
        <f t="shared" ref="V6" si="8">U6+1</f>
        <v>20</v>
      </c>
      <c r="W6" s="309">
        <f t="shared" ref="W6:X6" si="9">V6+1</f>
        <v>21</v>
      </c>
      <c r="X6" s="309">
        <f t="shared" si="9"/>
        <v>22</v>
      </c>
      <c r="Y6" s="1263"/>
      <c r="Z6" s="1253"/>
      <c r="AA6" s="1253"/>
      <c r="AD6" s="1568"/>
    </row>
    <row r="7" spans="1:31">
      <c r="A7" s="99">
        <v>1</v>
      </c>
      <c r="B7" s="302" t="s">
        <v>93</v>
      </c>
      <c r="C7" s="311">
        <f>'Table 3 Levels 1&amp;2'!AO8</f>
        <v>51525404.411200002</v>
      </c>
      <c r="D7" s="358">
        <f>'[1]Adjusted Amounts'!C7</f>
        <v>0</v>
      </c>
      <c r="E7" s="358">
        <f>'[2]Adjusted Amounts'!H7</f>
        <v>0</v>
      </c>
      <c r="F7" s="358">
        <f>SUM(D7:E7)</f>
        <v>0</v>
      </c>
      <c r="G7" s="311">
        <f t="shared" ref="G7:G70" si="10">IF(F7&gt;0,F7,0)</f>
        <v>0</v>
      </c>
      <c r="H7" s="358">
        <f>IF(F7&lt;0,F7,0)</f>
        <v>0</v>
      </c>
      <c r="I7" s="358"/>
      <c r="J7" s="358">
        <f>-'Table 5C1A-Madison Prep'!H7</f>
        <v>0</v>
      </c>
      <c r="K7" s="358">
        <f>-'Table 5C1B-DArbonne'!H7</f>
        <v>0</v>
      </c>
      <c r="L7" s="358">
        <f>-'Table 5C1C-Intl_VIBE'!H7</f>
        <v>0</v>
      </c>
      <c r="M7" s="358">
        <f>-'Table 5C1D-NOMMA'!H7</f>
        <v>0</v>
      </c>
      <c r="N7" s="358">
        <f>-'Table 5C1E-LFNO'!H7</f>
        <v>0</v>
      </c>
      <c r="O7" s="360">
        <f>-'Table 5C1F-Lake Charles Charter'!H7</f>
        <v>0</v>
      </c>
      <c r="P7" s="358">
        <f>-'Table 5C1G-JS Clark Academy'!H7</f>
        <v>0</v>
      </c>
      <c r="Q7" s="358">
        <f>-'Table 5C1H-Southwest LA Charter'!H7</f>
        <v>0</v>
      </c>
      <c r="R7" s="315">
        <f>-('Table 5C2 - LA Virtual Admy'!H4+'Table 5C2 - LA Virtual Admy'!I4)</f>
        <v>-75250.955743459213</v>
      </c>
      <c r="S7" s="315">
        <f>-'Table 5C3 - LA Connections EBR'!H4-'Table 5C3 - LA Connections EBR'!I4</f>
        <v>-96751.228813018999</v>
      </c>
      <c r="T7" s="315">
        <f t="shared" ref="T7:T38" si="11">SUM(I7:S7)</f>
        <v>-172002.18455647823</v>
      </c>
      <c r="U7" s="552">
        <f t="shared" ref="U7:U38" si="12">ROUND(C7+F7+T7,0)</f>
        <v>51353402</v>
      </c>
      <c r="V7" s="311">
        <f>ROUND(U7/12,0)</f>
        <v>4279450</v>
      </c>
      <c r="W7" s="311">
        <f>'Table 4A Stipends'!G4</f>
        <v>0</v>
      </c>
      <c r="X7" s="311">
        <f>U7+W7</f>
        <v>51353402</v>
      </c>
      <c r="Y7" s="1254"/>
      <c r="Z7" s="1257"/>
      <c r="AA7" s="1257"/>
      <c r="AC7" s="1203" t="e">
        <f>(#REF!*'Table 3 Levels 1&amp;2'!AP8)+'Table 2_State Distrib and Adjs'!F7</f>
        <v>#REF!</v>
      </c>
      <c r="AD7" s="1201" t="e">
        <f t="shared" ref="AD7:AD38" si="13">U7-AC7</f>
        <v>#REF!</v>
      </c>
      <c r="AE7" s="284" t="e">
        <f>AD7/AC7</f>
        <v>#REF!</v>
      </c>
    </row>
    <row r="8" spans="1:31">
      <c r="A8" s="99">
        <v>2</v>
      </c>
      <c r="B8" s="302" t="s">
        <v>94</v>
      </c>
      <c r="C8" s="311">
        <f>'Table 3 Levels 1&amp;2'!AO9</f>
        <v>28682059.780479997</v>
      </c>
      <c r="D8" s="358">
        <f>'[1]Adjusted Amounts'!C8</f>
        <v>10338.090149683587</v>
      </c>
      <c r="E8" s="358">
        <f>'[2]Adjusted Amounts'!H8</f>
        <v>-10424.079088565875</v>
      </c>
      <c r="F8" s="358">
        <f t="shared" ref="F8:F71" si="14">SUM(D8:E8)</f>
        <v>-85.988938882288494</v>
      </c>
      <c r="G8" s="311">
        <f t="shared" si="10"/>
        <v>0</v>
      </c>
      <c r="H8" s="358">
        <f t="shared" ref="H8:H71" si="15">IF(F8&lt;0,F8,0)</f>
        <v>-85.988938882288494</v>
      </c>
      <c r="I8" s="358"/>
      <c r="J8" s="358">
        <f>-'Table 5C1A-Madison Prep'!H8</f>
        <v>0</v>
      </c>
      <c r="K8" s="358">
        <f>-'Table 5C1B-DArbonne'!H8</f>
        <v>0</v>
      </c>
      <c r="L8" s="358">
        <f>-'Table 5C1C-Intl_VIBE'!H8</f>
        <v>0</v>
      </c>
      <c r="M8" s="358">
        <f>-'Table 5C1D-NOMMA'!H8</f>
        <v>0</v>
      </c>
      <c r="N8" s="358">
        <f>-'Table 5C1E-LFNO'!H8</f>
        <v>0</v>
      </c>
      <c r="O8" s="358">
        <f>-'Table 5C1F-Lake Charles Charter'!H8</f>
        <v>0</v>
      </c>
      <c r="P8" s="358">
        <f>-'Table 5C1G-JS Clark Academy'!H8</f>
        <v>0</v>
      </c>
      <c r="Q8" s="358">
        <f>-'Table 5C1H-Southwest LA Charter'!H8</f>
        <v>0</v>
      </c>
      <c r="R8" s="315">
        <f>-('Table 5C2 - LA Virtual Admy'!H5+'Table 5C2 - LA Virtual Admy'!I5)</f>
        <v>-28099.005418055349</v>
      </c>
      <c r="S8" s="315">
        <f>-'Table 5C3 - LA Connections EBR'!H5-'Table 5C3 - LA Connections EBR'!I5</f>
        <v>-14049.502709027674</v>
      </c>
      <c r="T8" s="315">
        <f t="shared" si="11"/>
        <v>-42148.508127083027</v>
      </c>
      <c r="U8" s="552">
        <f t="shared" si="12"/>
        <v>28639825</v>
      </c>
      <c r="V8" s="311">
        <f t="shared" ref="V8:V71" si="16">ROUND(U8/12,0)</f>
        <v>2386652</v>
      </c>
      <c r="W8" s="311">
        <f>'Table 4A Stipends'!G5</f>
        <v>0</v>
      </c>
      <c r="X8" s="311">
        <f t="shared" ref="X8:X71" si="17">U8+W8</f>
        <v>28639825</v>
      </c>
      <c r="Y8" s="1254"/>
      <c r="Z8" s="1257"/>
      <c r="AA8" s="1260"/>
      <c r="AB8">
        <v>1</v>
      </c>
      <c r="AC8" s="1203" t="e">
        <f>(#REF!*'Table 3 Levels 1&amp;2'!AP9)+'Table 2_State Distrib and Adjs'!F8</f>
        <v>#REF!</v>
      </c>
      <c r="AD8" s="949" t="e">
        <f t="shared" si="13"/>
        <v>#REF!</v>
      </c>
      <c r="AE8" s="284" t="e">
        <f t="shared" ref="AE8:AE42" si="18">AD8/AC8</f>
        <v>#REF!</v>
      </c>
    </row>
    <row r="9" spans="1:31">
      <c r="A9" s="99">
        <v>3</v>
      </c>
      <c r="B9" s="302" t="s">
        <v>95</v>
      </c>
      <c r="C9" s="311">
        <f>'Table 3 Levels 1&amp;2'!AO10</f>
        <v>98914716.790416956</v>
      </c>
      <c r="D9" s="358">
        <f>'[1]Adjusted Amounts'!C9</f>
        <v>0</v>
      </c>
      <c r="E9" s="358">
        <f>'[2]Adjusted Amounts'!H9</f>
        <v>0</v>
      </c>
      <c r="F9" s="358">
        <f t="shared" si="14"/>
        <v>0</v>
      </c>
      <c r="G9" s="311">
        <f t="shared" si="10"/>
        <v>0</v>
      </c>
      <c r="H9" s="358">
        <f t="shared" si="15"/>
        <v>0</v>
      </c>
      <c r="I9" s="358"/>
      <c r="J9" s="358">
        <f>-'Table 5C1A-Madison Prep'!H9</f>
        <v>0</v>
      </c>
      <c r="K9" s="358">
        <f>-'Table 5C1B-DArbonne'!H9</f>
        <v>0</v>
      </c>
      <c r="L9" s="358">
        <f>-'Table 5C1C-Intl_VIBE'!H9</f>
        <v>0</v>
      </c>
      <c r="M9" s="358">
        <f>-'Table 5C1D-NOMMA'!H9</f>
        <v>0</v>
      </c>
      <c r="N9" s="358">
        <f>-'Table 5C1E-LFNO'!H9</f>
        <v>0</v>
      </c>
      <c r="O9" s="358">
        <f>-'Table 5C1F-Lake Charles Charter'!H9</f>
        <v>0</v>
      </c>
      <c r="P9" s="358">
        <f>-'Table 5C1G-JS Clark Academy'!H9</f>
        <v>0</v>
      </c>
      <c r="Q9" s="358">
        <f>-'Table 5C1H-Southwest LA Charter'!H9</f>
        <v>0</v>
      </c>
      <c r="R9" s="315">
        <f>-('Table 5C2 - LA Virtual Admy'!H6+'Table 5C2 - LA Virtual Admy'!I6)</f>
        <v>-192142.02950741444</v>
      </c>
      <c r="S9" s="315">
        <f>-'Table 5C3 - LA Connections EBR'!H6-'Table 5C3 - LA Connections EBR'!I6</f>
        <v>-129695.86991750474</v>
      </c>
      <c r="T9" s="315">
        <f t="shared" si="11"/>
        <v>-321837.89942491916</v>
      </c>
      <c r="U9" s="552">
        <f t="shared" si="12"/>
        <v>98592879</v>
      </c>
      <c r="V9" s="311">
        <f t="shared" si="16"/>
        <v>8216073</v>
      </c>
      <c r="W9" s="311">
        <f>'Table 4A Stipends'!G6</f>
        <v>0</v>
      </c>
      <c r="X9" s="311">
        <f t="shared" si="17"/>
        <v>98592879</v>
      </c>
      <c r="Y9" s="1254"/>
      <c r="Z9" s="1257"/>
      <c r="AA9" s="1260"/>
      <c r="AB9">
        <v>2</v>
      </c>
      <c r="AC9" s="1203" t="e">
        <f>(#REF!*'Table 3 Levels 1&amp;2'!AP10)+'Table 2_State Distrib and Adjs'!F9</f>
        <v>#REF!</v>
      </c>
      <c r="AD9" s="949" t="e">
        <f t="shared" si="13"/>
        <v>#REF!</v>
      </c>
      <c r="AE9" s="284" t="e">
        <f t="shared" si="18"/>
        <v>#REF!</v>
      </c>
    </row>
    <row r="10" spans="1:31">
      <c r="A10" s="99">
        <v>4</v>
      </c>
      <c r="B10" s="302" t="s">
        <v>96</v>
      </c>
      <c r="C10" s="311">
        <f>'Table 3 Levels 1&amp;2'!AO11</f>
        <v>23341643.964439437</v>
      </c>
      <c r="D10" s="358">
        <f>'[1]Adjusted Amounts'!C10</f>
        <v>0</v>
      </c>
      <c r="E10" s="358">
        <f>'[2]Adjusted Amounts'!H10</f>
        <v>26832.697836016825</v>
      </c>
      <c r="F10" s="358">
        <f t="shared" si="14"/>
        <v>26832.697836016825</v>
      </c>
      <c r="G10" s="311">
        <f t="shared" si="10"/>
        <v>26832.697836016825</v>
      </c>
      <c r="H10" s="358">
        <f t="shared" si="15"/>
        <v>0</v>
      </c>
      <c r="I10" s="358"/>
      <c r="J10" s="358">
        <f>-'Table 5C1A-Madison Prep'!H10</f>
        <v>0</v>
      </c>
      <c r="K10" s="358">
        <f>-'Table 5C1B-DArbonne'!H10</f>
        <v>0</v>
      </c>
      <c r="L10" s="358">
        <f>-'Table 5C1C-Intl_VIBE'!H10</f>
        <v>0</v>
      </c>
      <c r="M10" s="358">
        <f>-'Table 5C1D-NOMMA'!H10</f>
        <v>0</v>
      </c>
      <c r="N10" s="358">
        <f>-'Table 5C1E-LFNO'!H10</f>
        <v>0</v>
      </c>
      <c r="O10" s="358">
        <f>-'Table 5C1F-Lake Charles Charter'!H10</f>
        <v>0</v>
      </c>
      <c r="P10" s="358">
        <f>-'Table 5C1G-JS Clark Academy'!H10</f>
        <v>0</v>
      </c>
      <c r="Q10" s="358">
        <f>-'Table 5C1H-Southwest LA Charter'!H10</f>
        <v>0</v>
      </c>
      <c r="R10" s="315">
        <f>-('Table 5C2 - LA Virtual Admy'!H7+'Table 5C2 - LA Virtual Admy'!I7)</f>
        <v>-19719.778060635967</v>
      </c>
      <c r="S10" s="315">
        <f>-'Table 5C3 - LA Connections EBR'!H7-'Table 5C3 - LA Connections EBR'!I7</f>
        <v>-19719.778060635967</v>
      </c>
      <c r="T10" s="315">
        <f t="shared" si="11"/>
        <v>-39439.556121271933</v>
      </c>
      <c r="U10" s="552">
        <f t="shared" si="12"/>
        <v>23329037</v>
      </c>
      <c r="V10" s="311">
        <f t="shared" si="16"/>
        <v>1944086</v>
      </c>
      <c r="W10" s="311">
        <f>'Table 4A Stipends'!G7</f>
        <v>18000</v>
      </c>
      <c r="X10" s="311">
        <f t="shared" si="17"/>
        <v>23347037</v>
      </c>
      <c r="Y10" s="1254"/>
      <c r="Z10" s="1257"/>
      <c r="AA10" s="1260"/>
      <c r="AB10">
        <v>3</v>
      </c>
      <c r="AC10" s="1203" t="e">
        <f>(#REF!*'Table 3 Levels 1&amp;2'!AP11)+'Table 2_State Distrib and Adjs'!F10</f>
        <v>#REF!</v>
      </c>
      <c r="AD10" s="949" t="e">
        <f t="shared" si="13"/>
        <v>#REF!</v>
      </c>
      <c r="AE10" s="284" t="e">
        <f t="shared" si="18"/>
        <v>#REF!</v>
      </c>
    </row>
    <row r="11" spans="1:31">
      <c r="A11" s="100">
        <v>5</v>
      </c>
      <c r="B11" s="303" t="s">
        <v>97</v>
      </c>
      <c r="C11" s="319">
        <f>'Table 3 Levels 1&amp;2'!AO12</f>
        <v>31909477.56992</v>
      </c>
      <c r="D11" s="359">
        <f>'[1]Adjusted Amounts'!C11</f>
        <v>-2718.3215289424334</v>
      </c>
      <c r="E11" s="359">
        <f>'[2]Adjusted Amounts'!H11</f>
        <v>-15433.970269679656</v>
      </c>
      <c r="F11" s="359">
        <f t="shared" si="14"/>
        <v>-18152.291798622089</v>
      </c>
      <c r="G11" s="319">
        <f t="shared" si="10"/>
        <v>0</v>
      </c>
      <c r="H11" s="359">
        <f t="shared" si="15"/>
        <v>-18152.291798622089</v>
      </c>
      <c r="I11" s="359"/>
      <c r="J11" s="359">
        <f>-'Table 5C1A-Madison Prep'!H11</f>
        <v>0</v>
      </c>
      <c r="K11" s="359">
        <f>-'Table 5C1B-DArbonne'!H11</f>
        <v>0</v>
      </c>
      <c r="L11" s="359">
        <f>-'Table 5C1C-Intl_VIBE'!H11</f>
        <v>0</v>
      </c>
      <c r="M11" s="359">
        <f>-'Table 5C1D-NOMMA'!H11</f>
        <v>0</v>
      </c>
      <c r="N11" s="359">
        <f>-'Table 5C1E-LFNO'!H11</f>
        <v>0</v>
      </c>
      <c r="O11" s="359">
        <f>-'Table 5C1F-Lake Charles Charter'!H11</f>
        <v>0</v>
      </c>
      <c r="P11" s="359">
        <f>-'Table 5C1G-JS Clark Academy'!H11</f>
        <v>0</v>
      </c>
      <c r="Q11" s="359">
        <f>-'Table 5C1H-Southwest LA Charter'!H11</f>
        <v>0</v>
      </c>
      <c r="R11" s="321">
        <f>-('Table 5C2 - LA Virtual Admy'!H8+'Table 5C2 - LA Virtual Admy'!I8)</f>
        <v>-110854.53385416015</v>
      </c>
      <c r="S11" s="321">
        <f>-'Table 5C3 - LA Connections EBR'!H8-'Table 5C3 - LA Connections EBR'!I8</f>
        <v>-77598.173697912105</v>
      </c>
      <c r="T11" s="321">
        <f t="shared" si="11"/>
        <v>-188452.70755207224</v>
      </c>
      <c r="U11" s="553">
        <f t="shared" si="12"/>
        <v>31702873</v>
      </c>
      <c r="V11" s="319">
        <f t="shared" si="16"/>
        <v>2641906</v>
      </c>
      <c r="W11" s="319">
        <f>'Table 4A Stipends'!G8</f>
        <v>0</v>
      </c>
      <c r="X11" s="319">
        <f t="shared" si="17"/>
        <v>31702873</v>
      </c>
      <c r="Y11" s="1254"/>
      <c r="Z11" s="1257"/>
      <c r="AA11" s="1257"/>
      <c r="AC11" s="1203" t="e">
        <f>(#REF!*'Table 3 Levels 1&amp;2'!AP12)+'Table 2_State Distrib and Adjs'!F11</f>
        <v>#REF!</v>
      </c>
      <c r="AD11" s="949" t="e">
        <f t="shared" si="13"/>
        <v>#REF!</v>
      </c>
      <c r="AE11" s="284" t="e">
        <f t="shared" si="18"/>
        <v>#REF!</v>
      </c>
    </row>
    <row r="12" spans="1:31">
      <c r="A12" s="99">
        <v>6</v>
      </c>
      <c r="B12" s="302" t="s">
        <v>98</v>
      </c>
      <c r="C12" s="311">
        <f>'Table 3 Levels 1&amp;2'!AO13</f>
        <v>36089231.337960638</v>
      </c>
      <c r="D12" s="358">
        <f>'[1]Adjusted Amounts'!C12</f>
        <v>-3090.6922071054432</v>
      </c>
      <c r="E12" s="358">
        <f>'[2]Adjusted Amounts'!H12</f>
        <v>-559520.47628364025</v>
      </c>
      <c r="F12" s="358">
        <f t="shared" si="14"/>
        <v>-562611.16849074571</v>
      </c>
      <c r="G12" s="311">
        <f t="shared" si="10"/>
        <v>0</v>
      </c>
      <c r="H12" s="358">
        <f t="shared" si="15"/>
        <v>-562611.16849074571</v>
      </c>
      <c r="I12" s="358"/>
      <c r="J12" s="358">
        <f>-'Table 5C1A-Madison Prep'!H12</f>
        <v>0</v>
      </c>
      <c r="K12" s="358">
        <f>-'Table 5C1B-DArbonne'!H12</f>
        <v>0</v>
      </c>
      <c r="L12" s="358">
        <f>-'Table 5C1C-Intl_VIBE'!H12</f>
        <v>0</v>
      </c>
      <c r="M12" s="358">
        <f>-'Table 5C1D-NOMMA'!H12</f>
        <v>0</v>
      </c>
      <c r="N12" s="358">
        <f>-'Table 5C1E-LFNO'!H12</f>
        <v>0</v>
      </c>
      <c r="O12" s="358">
        <f>-'Table 5C1F-Lake Charles Charter'!H12</f>
        <v>0</v>
      </c>
      <c r="P12" s="358">
        <f>-'Table 5C1G-JS Clark Academy'!H12</f>
        <v>0</v>
      </c>
      <c r="Q12" s="358">
        <f>-'Table 5C1H-Southwest LA Charter'!H12</f>
        <v>0</v>
      </c>
      <c r="R12" s="315">
        <f>-('Table 5C2 - LA Virtual Admy'!H9+'Table 5C2 - LA Virtual Admy'!I9)</f>
        <v>-101290.56178724302</v>
      </c>
      <c r="S12" s="315">
        <f>-'Table 5C3 - LA Connections EBR'!H9-'Table 5C3 - LA Connections EBR'!I9</f>
        <v>-131081.9034893733</v>
      </c>
      <c r="T12" s="315">
        <f t="shared" si="11"/>
        <v>-232372.46527661633</v>
      </c>
      <c r="U12" s="552">
        <f t="shared" si="12"/>
        <v>35294248</v>
      </c>
      <c r="V12" s="311">
        <f t="shared" si="16"/>
        <v>2941187</v>
      </c>
      <c r="W12" s="311">
        <f>'Table 4A Stipends'!G9</f>
        <v>0</v>
      </c>
      <c r="X12" s="311">
        <f t="shared" si="17"/>
        <v>35294248</v>
      </c>
      <c r="Y12" s="1254"/>
      <c r="Z12" s="1257"/>
      <c r="AA12" s="1260"/>
      <c r="AB12">
        <v>4</v>
      </c>
      <c r="AC12" s="1203" t="e">
        <f>(#REF!*'Table 3 Levels 1&amp;2'!AP13)+'Table 2_State Distrib and Adjs'!F12</f>
        <v>#REF!</v>
      </c>
      <c r="AD12" s="949" t="e">
        <f t="shared" si="13"/>
        <v>#REF!</v>
      </c>
      <c r="AE12" s="284" t="e">
        <f t="shared" si="18"/>
        <v>#REF!</v>
      </c>
    </row>
    <row r="13" spans="1:31">
      <c r="A13" s="99">
        <v>7</v>
      </c>
      <c r="B13" s="302" t="s">
        <v>99</v>
      </c>
      <c r="C13" s="311">
        <f>'Table 3 Levels 1&amp;2'!AO14</f>
        <v>5558218.2599999998</v>
      </c>
      <c r="D13" s="358">
        <f>'[1]Adjusted Amounts'!C13</f>
        <v>-1148.4454043616533</v>
      </c>
      <c r="E13" s="358">
        <f>'[2]Adjusted Amounts'!H13</f>
        <v>231.94927088567511</v>
      </c>
      <c r="F13" s="358">
        <f t="shared" si="14"/>
        <v>-916.49613347597824</v>
      </c>
      <c r="G13" s="311">
        <f t="shared" si="10"/>
        <v>0</v>
      </c>
      <c r="H13" s="358">
        <f t="shared" si="15"/>
        <v>-916.49613347597824</v>
      </c>
      <c r="I13" s="358"/>
      <c r="J13" s="358">
        <f>-'Table 5C1A-Madison Prep'!H13</f>
        <v>0</v>
      </c>
      <c r="K13" s="358">
        <f>-'Table 5C1B-DArbonne'!H13</f>
        <v>0</v>
      </c>
      <c r="L13" s="358">
        <f>-'Table 5C1C-Intl_VIBE'!H13</f>
        <v>0</v>
      </c>
      <c r="M13" s="358">
        <f>-'Table 5C1D-NOMMA'!H13</f>
        <v>0</v>
      </c>
      <c r="N13" s="358">
        <f>-'Table 5C1E-LFNO'!H13</f>
        <v>0</v>
      </c>
      <c r="O13" s="358">
        <f>-'Table 5C1F-Lake Charles Charter'!H13</f>
        <v>0</v>
      </c>
      <c r="P13" s="358">
        <f>-'Table 5C1G-JS Clark Academy'!H13</f>
        <v>0</v>
      </c>
      <c r="Q13" s="358">
        <f>-'Table 5C1H-Southwest LA Charter'!H13</f>
        <v>0</v>
      </c>
      <c r="R13" s="315">
        <f>-('Table 5C2 - LA Virtual Admy'!H10+'Table 5C2 - LA Virtual Admy'!I10)</f>
        <v>-10092.089441670449</v>
      </c>
      <c r="S13" s="315">
        <f>-'Table 5C3 - LA Connections EBR'!H10-'Table 5C3 - LA Connections EBR'!I10</f>
        <v>-20184.178883340897</v>
      </c>
      <c r="T13" s="315">
        <f t="shared" si="11"/>
        <v>-30276.268325011348</v>
      </c>
      <c r="U13" s="552">
        <f t="shared" si="12"/>
        <v>5527025</v>
      </c>
      <c r="V13" s="311">
        <f t="shared" si="16"/>
        <v>460585</v>
      </c>
      <c r="W13" s="311">
        <f>'Table 4A Stipends'!G10</f>
        <v>0</v>
      </c>
      <c r="X13" s="311">
        <f t="shared" si="17"/>
        <v>5527025</v>
      </c>
      <c r="Y13" s="1254"/>
      <c r="Z13" s="1257"/>
      <c r="AA13" s="1257"/>
      <c r="AC13" s="1203" t="e">
        <f>(#REF!*'Table 3 Levels 1&amp;2'!AP14)+'Table 2_State Distrib and Adjs'!F13</f>
        <v>#REF!</v>
      </c>
      <c r="AD13" s="949" t="e">
        <f t="shared" si="13"/>
        <v>#REF!</v>
      </c>
      <c r="AE13" s="284" t="e">
        <f t="shared" si="18"/>
        <v>#REF!</v>
      </c>
    </row>
    <row r="14" spans="1:31">
      <c r="A14" s="99">
        <v>8</v>
      </c>
      <c r="B14" s="302" t="s">
        <v>100</v>
      </c>
      <c r="C14" s="311">
        <f>'Table 3 Levels 1&amp;2'!AO15</f>
        <v>106273515.37262344</v>
      </c>
      <c r="D14" s="358">
        <f>'[1]Adjusted Amounts'!C14</f>
        <v>0</v>
      </c>
      <c r="E14" s="358">
        <f>'[2]Adjusted Amounts'!H14</f>
        <v>278.403015368458</v>
      </c>
      <c r="F14" s="358">
        <f t="shared" si="14"/>
        <v>278.403015368458</v>
      </c>
      <c r="G14" s="311">
        <f t="shared" si="10"/>
        <v>278.403015368458</v>
      </c>
      <c r="H14" s="358">
        <f t="shared" si="15"/>
        <v>0</v>
      </c>
      <c r="I14" s="358"/>
      <c r="J14" s="358">
        <f>-'Table 5C1A-Madison Prep'!H14</f>
        <v>0</v>
      </c>
      <c r="K14" s="358">
        <f>-'Table 5C1B-DArbonne'!H14</f>
        <v>0</v>
      </c>
      <c r="L14" s="358">
        <f>-'Table 5C1C-Intl_VIBE'!H14</f>
        <v>0</v>
      </c>
      <c r="M14" s="358">
        <f>-'Table 5C1D-NOMMA'!H14</f>
        <v>0</v>
      </c>
      <c r="N14" s="358">
        <f>-'Table 5C1E-LFNO'!H14</f>
        <v>0</v>
      </c>
      <c r="O14" s="358">
        <f>-'Table 5C1F-Lake Charles Charter'!H14</f>
        <v>0</v>
      </c>
      <c r="P14" s="358">
        <f>-'Table 5C1G-JS Clark Academy'!H14</f>
        <v>0</v>
      </c>
      <c r="Q14" s="358">
        <f>-'Table 5C1H-Southwest LA Charter'!H14</f>
        <v>0</v>
      </c>
      <c r="R14" s="315">
        <f>-('Table 5C2 - LA Virtual Admy'!H11+'Table 5C2 - LA Virtual Admy'!I11)</f>
        <v>-175534.35762349315</v>
      </c>
      <c r="S14" s="315">
        <f>-'Table 5C3 - LA Connections EBR'!H11-'Table 5C3 - LA Connections EBR'!I11</f>
        <v>-225687.0312302055</v>
      </c>
      <c r="T14" s="315">
        <f t="shared" si="11"/>
        <v>-401221.38885369862</v>
      </c>
      <c r="U14" s="552">
        <f t="shared" si="12"/>
        <v>105872572</v>
      </c>
      <c r="V14" s="311">
        <f t="shared" si="16"/>
        <v>8822714</v>
      </c>
      <c r="W14" s="311">
        <f>'Table 4A Stipends'!G11</f>
        <v>12000</v>
      </c>
      <c r="X14" s="311">
        <f t="shared" si="17"/>
        <v>105884572</v>
      </c>
      <c r="Y14" s="1254"/>
      <c r="Z14" s="1257"/>
      <c r="AA14" s="1257"/>
      <c r="AC14" s="1203" t="e">
        <f>(#REF!*'Table 3 Levels 1&amp;2'!AP15)+'Table 2_State Distrib and Adjs'!F14</f>
        <v>#REF!</v>
      </c>
      <c r="AD14" s="949" t="e">
        <f t="shared" si="13"/>
        <v>#REF!</v>
      </c>
      <c r="AE14" s="284" t="e">
        <f t="shared" si="18"/>
        <v>#REF!</v>
      </c>
    </row>
    <row r="15" spans="1:31">
      <c r="A15" s="99">
        <v>9</v>
      </c>
      <c r="B15" s="302" t="s">
        <v>101</v>
      </c>
      <c r="C15" s="311">
        <f>'Table 3 Levels 1&amp;2'!AO16</f>
        <v>210117986.96323681</v>
      </c>
      <c r="D15" s="358">
        <f>'[1]Adjusted Amounts'!C15</f>
        <v>-15389.013847659691</v>
      </c>
      <c r="E15" s="358">
        <f>'[2]Adjusted Amounts'!H15</f>
        <v>-271285.20897772937</v>
      </c>
      <c r="F15" s="358">
        <f t="shared" si="14"/>
        <v>-286674.22282538906</v>
      </c>
      <c r="G15" s="311">
        <f t="shared" si="10"/>
        <v>0</v>
      </c>
      <c r="H15" s="358">
        <f t="shared" si="15"/>
        <v>-286674.22282538906</v>
      </c>
      <c r="I15" s="358">
        <f>-'Table 5B2_RSD_LA'!H30</f>
        <v>-3366945.8</v>
      </c>
      <c r="J15" s="358">
        <f>-'Table 5C1A-Madison Prep'!H15</f>
        <v>0</v>
      </c>
      <c r="K15" s="358">
        <f>-'Table 5C1B-DArbonne'!H15</f>
        <v>0</v>
      </c>
      <c r="L15" s="358">
        <f>-'Table 5C1C-Intl_VIBE'!H15</f>
        <v>0</v>
      </c>
      <c r="M15" s="358">
        <f>-'Table 5C1D-NOMMA'!H15</f>
        <v>0</v>
      </c>
      <c r="N15" s="358">
        <f>-'Table 5C1E-LFNO'!H15</f>
        <v>0</v>
      </c>
      <c r="O15" s="358">
        <f>-'Table 5C1F-Lake Charles Charter'!H15</f>
        <v>0</v>
      </c>
      <c r="P15" s="358">
        <f>-'Table 5C1G-JS Clark Academy'!H15</f>
        <v>0</v>
      </c>
      <c r="Q15" s="358">
        <f>-'Table 5C1H-Southwest LA Charter'!H15</f>
        <v>0</v>
      </c>
      <c r="R15" s="315">
        <f>-('Table 5C2 - LA Virtual Admy'!H12+'Table 5C2 - LA Virtual Admy'!I12)</f>
        <v>-447212.66429693718</v>
      </c>
      <c r="S15" s="315">
        <f>-'Table 5C3 - LA Connections EBR'!H12-'Table 5C3 - LA Connections EBR'!I12</f>
        <v>-334124.40435978066</v>
      </c>
      <c r="T15" s="315">
        <f t="shared" si="11"/>
        <v>-4148282.8686567177</v>
      </c>
      <c r="U15" s="555">
        <f t="shared" si="12"/>
        <v>205683030</v>
      </c>
      <c r="V15" s="311">
        <f t="shared" si="16"/>
        <v>17140253</v>
      </c>
      <c r="W15" s="311">
        <f>'Table 4A Stipends'!G12</f>
        <v>20000</v>
      </c>
      <c r="X15" s="358">
        <f t="shared" si="17"/>
        <v>205703030</v>
      </c>
      <c r="Y15" s="1255"/>
      <c r="Z15" s="1258"/>
      <c r="AA15" s="1258"/>
      <c r="AC15" s="1203" t="e">
        <f>(#REF!*'Table 3 Levels 1&amp;2'!AP16)+'Table 2_State Distrib and Adjs'!F15</f>
        <v>#REF!</v>
      </c>
      <c r="AD15" s="949" t="e">
        <f t="shared" si="13"/>
        <v>#REF!</v>
      </c>
      <c r="AE15" s="284" t="e">
        <f t="shared" si="18"/>
        <v>#REF!</v>
      </c>
    </row>
    <row r="16" spans="1:31">
      <c r="A16" s="100">
        <v>10</v>
      </c>
      <c r="B16" s="303" t="s">
        <v>102</v>
      </c>
      <c r="C16" s="319">
        <f>'Table 3 Levels 1&amp;2'!AO17</f>
        <v>155796053.3316232</v>
      </c>
      <c r="D16" s="359">
        <f>'[1]Adjusted Amounts'!C16</f>
        <v>-41821.566594872507</v>
      </c>
      <c r="E16" s="359">
        <f>'[2]Adjusted Amounts'!H16</f>
        <v>-69465.223290625945</v>
      </c>
      <c r="F16" s="359">
        <f t="shared" si="14"/>
        <v>-111286.78988549845</v>
      </c>
      <c r="G16" s="319">
        <f t="shared" si="10"/>
        <v>0</v>
      </c>
      <c r="H16" s="359">
        <f t="shared" si="15"/>
        <v>-111286.78988549845</v>
      </c>
      <c r="I16" s="359"/>
      <c r="J16" s="58">
        <f>-'Table 5C1A-Madison Prep'!H16</f>
        <v>0</v>
      </c>
      <c r="K16" s="58">
        <f>-'Table 5C1B-DArbonne'!H16</f>
        <v>0</v>
      </c>
      <c r="L16" s="359">
        <f>-'Table 5C1C-Intl_VIBE'!H16</f>
        <v>0</v>
      </c>
      <c r="M16" s="359">
        <f>-'Table 5C1D-NOMMA'!H16</f>
        <v>0</v>
      </c>
      <c r="N16" s="359">
        <f>-'Table 5C1E-LFNO'!H16</f>
        <v>0</v>
      </c>
      <c r="O16" s="359">
        <f>-'Table 5C1F-Lake Charles Charter'!H16</f>
        <v>-3670536.7367339297</v>
      </c>
      <c r="P16" s="359">
        <f>-'Table 5C1G-JS Clark Academy'!H16</f>
        <v>0</v>
      </c>
      <c r="Q16" s="359">
        <f>-'Table 5C1H-Southwest LA Charter'!H16</f>
        <v>-2542636.7063733046</v>
      </c>
      <c r="R16" s="321">
        <f>-('Table 5C2 - LA Virtual Admy'!H13+'Table 5C2 - LA Virtual Admy'!I13)</f>
        <v>-277113.36952825694</v>
      </c>
      <c r="S16" s="321">
        <f>-'Table 5C3 - LA Connections EBR'!H13-'Table 5C3 - LA Connections EBR'!I13</f>
        <v>-257666.81728065995</v>
      </c>
      <c r="T16" s="321">
        <f t="shared" si="11"/>
        <v>-6747953.629916152</v>
      </c>
      <c r="U16" s="553">
        <f t="shared" si="12"/>
        <v>148936813</v>
      </c>
      <c r="V16" s="319">
        <f t="shared" si="16"/>
        <v>12411401</v>
      </c>
      <c r="W16" s="319">
        <f>'Table 4A Stipends'!G13</f>
        <v>98000</v>
      </c>
      <c r="X16" s="319">
        <f t="shared" si="17"/>
        <v>149034813</v>
      </c>
      <c r="Y16" s="1254"/>
      <c r="Z16" s="1257"/>
      <c r="AA16" s="1260"/>
      <c r="AB16">
        <v>5</v>
      </c>
      <c r="AC16" s="1203" t="e">
        <f>(#REF!*'Table 3 Levels 1&amp;2'!AP17)+'Table 2_State Distrib and Adjs'!F16</f>
        <v>#REF!</v>
      </c>
      <c r="AD16" s="949" t="e">
        <f t="shared" si="13"/>
        <v>#REF!</v>
      </c>
      <c r="AE16" s="284" t="e">
        <f t="shared" si="18"/>
        <v>#REF!</v>
      </c>
    </row>
    <row r="17" spans="1:32">
      <c r="A17" s="99">
        <v>11</v>
      </c>
      <c r="B17" s="302" t="s">
        <v>103</v>
      </c>
      <c r="C17" s="311">
        <f>'Table 3 Levels 1&amp;2'!AO18</f>
        <v>11732287.88517152</v>
      </c>
      <c r="D17" s="358">
        <f>'[1]Adjusted Amounts'!C17</f>
        <v>0</v>
      </c>
      <c r="E17" s="358">
        <f>'[2]Adjusted Amounts'!H17</f>
        <v>0</v>
      </c>
      <c r="F17" s="358">
        <f t="shared" si="14"/>
        <v>0</v>
      </c>
      <c r="G17" s="311">
        <f t="shared" si="10"/>
        <v>0</v>
      </c>
      <c r="H17" s="358">
        <f t="shared" si="15"/>
        <v>0</v>
      </c>
      <c r="I17" s="358"/>
      <c r="J17" s="358">
        <f>-'Table 5C1A-Madison Prep'!H17</f>
        <v>0</v>
      </c>
      <c r="K17" s="358">
        <f>-'Table 5C1B-DArbonne'!H17</f>
        <v>0</v>
      </c>
      <c r="L17" s="358">
        <f>-'Table 5C1C-Intl_VIBE'!H17</f>
        <v>0</v>
      </c>
      <c r="M17" s="358">
        <f>-'Table 5C1D-NOMMA'!H17</f>
        <v>0</v>
      </c>
      <c r="N17" s="358">
        <f>-'Table 5C1E-LFNO'!H17</f>
        <v>0</v>
      </c>
      <c r="O17" s="358">
        <f>-'Table 5C1F-Lake Charles Charter'!H17</f>
        <v>0</v>
      </c>
      <c r="P17" s="358">
        <f>-'Table 5C1G-JS Clark Academy'!H17</f>
        <v>0</v>
      </c>
      <c r="Q17" s="358">
        <f>-'Table 5C1H-Southwest LA Charter'!H17</f>
        <v>0</v>
      </c>
      <c r="R17" s="315">
        <f>-('Table 5C2 - LA Virtual Admy'!H14+'Table 5C2 - LA Virtual Admy'!I14)</f>
        <v>-52916.24690476845</v>
      </c>
      <c r="S17" s="315">
        <f>-'Table 5C3 - LA Connections EBR'!H14-'Table 5C3 - LA Connections EBR'!I14</f>
        <v>-15118.927687076699</v>
      </c>
      <c r="T17" s="315">
        <f t="shared" si="11"/>
        <v>-68035.174591845149</v>
      </c>
      <c r="U17" s="552">
        <f t="shared" si="12"/>
        <v>11664253</v>
      </c>
      <c r="V17" s="311">
        <f t="shared" si="16"/>
        <v>972021</v>
      </c>
      <c r="W17" s="311">
        <f>'Table 4A Stipends'!G14</f>
        <v>0</v>
      </c>
      <c r="X17" s="311">
        <f t="shared" si="17"/>
        <v>11664253</v>
      </c>
      <c r="Y17" s="1254"/>
      <c r="Z17" s="1257"/>
      <c r="AA17" s="1257"/>
      <c r="AC17" s="1203" t="e">
        <f>(#REF!*'Table 3 Levels 1&amp;2'!AP18)+'Table 2_State Distrib and Adjs'!F17</f>
        <v>#REF!</v>
      </c>
      <c r="AD17" s="949" t="e">
        <f t="shared" si="13"/>
        <v>#REF!</v>
      </c>
      <c r="AE17" s="284" t="e">
        <f t="shared" si="18"/>
        <v>#REF!</v>
      </c>
    </row>
    <row r="18" spans="1:32">
      <c r="A18" s="99">
        <v>12</v>
      </c>
      <c r="B18" s="302" t="s">
        <v>104</v>
      </c>
      <c r="C18" s="311">
        <f>'Table 3 Levels 1&amp;2'!AO19</f>
        <v>3393022.5300000003</v>
      </c>
      <c r="D18" s="358">
        <f>'[1]Adjusted Amounts'!C18</f>
        <v>0</v>
      </c>
      <c r="E18" s="358">
        <f>'[2]Adjusted Amounts'!H18</f>
        <v>0</v>
      </c>
      <c r="F18" s="358">
        <f t="shared" si="14"/>
        <v>0</v>
      </c>
      <c r="G18" s="311">
        <f t="shared" si="10"/>
        <v>0</v>
      </c>
      <c r="H18" s="358">
        <f t="shared" si="15"/>
        <v>0</v>
      </c>
      <c r="I18" s="358"/>
      <c r="J18" s="358">
        <f>-'Table 5C1A-Madison Prep'!H18</f>
        <v>0</v>
      </c>
      <c r="K18" s="358">
        <f>-'Table 5C1B-DArbonne'!H18</f>
        <v>0</v>
      </c>
      <c r="L18" s="358">
        <f>-'Table 5C1C-Intl_VIBE'!H18</f>
        <v>0</v>
      </c>
      <c r="M18" s="358">
        <f>-'Table 5C1D-NOMMA'!H18</f>
        <v>0</v>
      </c>
      <c r="N18" s="358">
        <f>-'Table 5C1E-LFNO'!H18</f>
        <v>0</v>
      </c>
      <c r="O18" s="358">
        <f>-'Table 5C1F-Lake Charles Charter'!H18</f>
        <v>0</v>
      </c>
      <c r="P18" s="358">
        <f>-'Table 5C1G-JS Clark Academy'!H18</f>
        <v>0</v>
      </c>
      <c r="Q18" s="358">
        <f>-'Table 5C1H-Southwest LA Charter'!H18</f>
        <v>0</v>
      </c>
      <c r="R18" s="315">
        <f>-('Table 5C2 - LA Virtual Admy'!H15+'Table 5C2 - LA Virtual Admy'!I15)</f>
        <v>0</v>
      </c>
      <c r="S18" s="315">
        <f>-'Table 5C3 - LA Connections EBR'!H15-'Table 5C3 - LA Connections EBR'!I15</f>
        <v>-2797.2156059356967</v>
      </c>
      <c r="T18" s="315">
        <f t="shared" si="11"/>
        <v>-2797.2156059356967</v>
      </c>
      <c r="U18" s="552">
        <f t="shared" si="12"/>
        <v>3390225</v>
      </c>
      <c r="V18" s="311">
        <f t="shared" si="16"/>
        <v>282519</v>
      </c>
      <c r="W18" s="311">
        <f>'Table 4A Stipends'!G15</f>
        <v>0</v>
      </c>
      <c r="X18" s="311">
        <f t="shared" si="17"/>
        <v>3390225</v>
      </c>
      <c r="Y18" s="1254"/>
      <c r="Z18" s="1257"/>
      <c r="AA18" s="1260"/>
      <c r="AB18">
        <v>6</v>
      </c>
      <c r="AC18" s="1203" t="e">
        <f>(#REF!*'Table 3 Levels 1&amp;2'!AP19)+'Table 2_State Distrib and Adjs'!F18</f>
        <v>#REF!</v>
      </c>
      <c r="AD18" s="949" t="e">
        <f t="shared" si="13"/>
        <v>#REF!</v>
      </c>
      <c r="AE18" s="284" t="e">
        <f t="shared" si="18"/>
        <v>#REF!</v>
      </c>
    </row>
    <row r="19" spans="1:32">
      <c r="A19" s="99">
        <v>13</v>
      </c>
      <c r="B19" s="302" t="s">
        <v>105</v>
      </c>
      <c r="C19" s="311">
        <f>'Table 3 Levels 1&amp;2'!AO20</f>
        <v>10617387.657480001</v>
      </c>
      <c r="D19" s="358">
        <f>'[1]Adjusted Amounts'!C19</f>
        <v>3362.7373720844844</v>
      </c>
      <c r="E19" s="358">
        <f>'[2]Adjusted Amounts'!H19</f>
        <v>-2080.2769246181197</v>
      </c>
      <c r="F19" s="358">
        <f t="shared" si="14"/>
        <v>1282.4604474663647</v>
      </c>
      <c r="G19" s="311">
        <f t="shared" si="10"/>
        <v>1282.4604474663647</v>
      </c>
      <c r="H19" s="358">
        <f t="shared" si="15"/>
        <v>0</v>
      </c>
      <c r="I19" s="358"/>
      <c r="J19" s="358">
        <f>-'Table 5C1A-Madison Prep'!H19</f>
        <v>0</v>
      </c>
      <c r="K19" s="358">
        <f>-'Table 5C1B-DArbonne'!H19</f>
        <v>0</v>
      </c>
      <c r="L19" s="358">
        <f>-'Table 5C1C-Intl_VIBE'!H19</f>
        <v>0</v>
      </c>
      <c r="M19" s="358">
        <f>-'Table 5C1D-NOMMA'!H19</f>
        <v>0</v>
      </c>
      <c r="N19" s="358">
        <f>-'Table 5C1E-LFNO'!H19</f>
        <v>0</v>
      </c>
      <c r="O19" s="358">
        <f>-'Table 5C1F-Lake Charles Charter'!H19</f>
        <v>0</v>
      </c>
      <c r="P19" s="358">
        <f>-'Table 5C1G-JS Clark Academy'!H19</f>
        <v>0</v>
      </c>
      <c r="Q19" s="358">
        <f>-'Table 5C1H-Southwest LA Charter'!H19</f>
        <v>0</v>
      </c>
      <c r="R19" s="315">
        <f>-('Table 5C2 - LA Virtual Admy'!H16+'Table 5C2 - LA Virtual Admy'!I16)</f>
        <v>-70035.538637730875</v>
      </c>
      <c r="S19" s="315">
        <f>-'Table 5C3 - LA Connections EBR'!H16-'Table 5C3 - LA Connections EBR'!I16</f>
        <v>-21010.661591319262</v>
      </c>
      <c r="T19" s="315">
        <f t="shared" si="11"/>
        <v>-91046.20022905014</v>
      </c>
      <c r="U19" s="552">
        <f t="shared" si="12"/>
        <v>10527624</v>
      </c>
      <c r="V19" s="311">
        <f t="shared" si="16"/>
        <v>877302</v>
      </c>
      <c r="W19" s="311">
        <f>'Table 4A Stipends'!G16</f>
        <v>0</v>
      </c>
      <c r="X19" s="311">
        <f t="shared" si="17"/>
        <v>10527624</v>
      </c>
      <c r="Y19" s="1254"/>
      <c r="Z19" s="1257"/>
      <c r="AA19" s="1260"/>
      <c r="AB19">
        <v>7</v>
      </c>
      <c r="AC19" s="1203" t="e">
        <f>(#REF!*'Table 3 Levels 1&amp;2'!AP20)+'Table 2_State Distrib and Adjs'!F19</f>
        <v>#REF!</v>
      </c>
      <c r="AD19" s="949" t="e">
        <f t="shared" si="13"/>
        <v>#REF!</v>
      </c>
      <c r="AE19" s="284" t="e">
        <f t="shared" si="18"/>
        <v>#REF!</v>
      </c>
    </row>
    <row r="20" spans="1:32">
      <c r="A20" s="99">
        <v>14</v>
      </c>
      <c r="B20" s="302" t="s">
        <v>106</v>
      </c>
      <c r="C20" s="311">
        <f>'Table 3 Levels 1&amp;2'!AO21</f>
        <v>11571370.651008001</v>
      </c>
      <c r="D20" s="358">
        <f>'[1]Adjusted Amounts'!C20</f>
        <v>-3279.4790639259299</v>
      </c>
      <c r="E20" s="358">
        <f>'[2]Adjusted Amounts'!H20</f>
        <v>1294.3388056557724</v>
      </c>
      <c r="F20" s="358">
        <f t="shared" si="14"/>
        <v>-1985.1402582701576</v>
      </c>
      <c r="G20" s="311">
        <f t="shared" si="10"/>
        <v>0</v>
      </c>
      <c r="H20" s="358">
        <f t="shared" si="15"/>
        <v>-1985.1402582701576</v>
      </c>
      <c r="I20" s="358"/>
      <c r="J20" s="358">
        <f>-'Table 5C1A-Madison Prep'!H20</f>
        <v>0</v>
      </c>
      <c r="K20" s="358">
        <f>-'Table 5C1B-DArbonne'!H20</f>
        <v>-12375.797487709091</v>
      </c>
      <c r="L20" s="358">
        <f>-'Table 5C1C-Intl_VIBE'!H20</f>
        <v>0</v>
      </c>
      <c r="M20" s="358">
        <f>-'Table 5C1D-NOMMA'!H20</f>
        <v>0</v>
      </c>
      <c r="N20" s="358">
        <f>-'Table 5C1E-LFNO'!H20</f>
        <v>0</v>
      </c>
      <c r="O20" s="358">
        <f>-'Table 5C1F-Lake Charles Charter'!H20</f>
        <v>0</v>
      </c>
      <c r="P20" s="358">
        <f>-'Table 5C1G-JS Clark Academy'!H20</f>
        <v>0</v>
      </c>
      <c r="Q20" s="358">
        <f>-'Table 5C1H-Southwest LA Charter'!H20</f>
        <v>0</v>
      </c>
      <c r="R20" s="315">
        <f>-('Table 5C2 - LA Virtual Admy'!H17+'Table 5C2 - LA Virtual Admy'!I17)</f>
        <v>-6187.8987438545455</v>
      </c>
      <c r="S20" s="315">
        <f>-'Table 5C3 - LA Connections EBR'!H17-'Table 5C3 - LA Connections EBR'!I17</f>
        <v>-68066.886182399991</v>
      </c>
      <c r="T20" s="315">
        <f t="shared" si="11"/>
        <v>-86630.582413963624</v>
      </c>
      <c r="U20" s="552">
        <f t="shared" si="12"/>
        <v>11482755</v>
      </c>
      <c r="V20" s="311">
        <f t="shared" si="16"/>
        <v>956896</v>
      </c>
      <c r="W20" s="311">
        <f>'Table 4A Stipends'!G17</f>
        <v>0</v>
      </c>
      <c r="X20" s="311">
        <f t="shared" si="17"/>
        <v>11482755</v>
      </c>
      <c r="Y20" s="1254"/>
      <c r="Z20" s="1257"/>
      <c r="AA20" s="1257"/>
      <c r="AC20" s="1203" t="e">
        <f>(#REF!*'Table 3 Levels 1&amp;2'!AP21)+'Table 2_State Distrib and Adjs'!F20</f>
        <v>#REF!</v>
      </c>
      <c r="AD20" s="949" t="e">
        <f t="shared" si="13"/>
        <v>#REF!</v>
      </c>
      <c r="AE20" s="284" t="e">
        <f t="shared" si="18"/>
        <v>#REF!</v>
      </c>
    </row>
    <row r="21" spans="1:32">
      <c r="A21" s="100">
        <v>15</v>
      </c>
      <c r="B21" s="303" t="s">
        <v>107</v>
      </c>
      <c r="C21" s="319">
        <f>'Table 3 Levels 1&amp;2'!AO22</f>
        <v>22057836.689375997</v>
      </c>
      <c r="D21" s="359">
        <f>'[1]Adjusted Amounts'!C21</f>
        <v>0</v>
      </c>
      <c r="E21" s="359">
        <f>'[2]Adjusted Amounts'!H21</f>
        <v>0</v>
      </c>
      <c r="F21" s="359">
        <f t="shared" si="14"/>
        <v>0</v>
      </c>
      <c r="G21" s="319">
        <f t="shared" si="10"/>
        <v>0</v>
      </c>
      <c r="H21" s="359">
        <f t="shared" si="15"/>
        <v>0</v>
      </c>
      <c r="I21" s="359"/>
      <c r="J21" s="359">
        <f>-'Table 5C1A-Madison Prep'!H21</f>
        <v>0</v>
      </c>
      <c r="K21" s="359">
        <f>-'Table 5C1B-DArbonne'!H21</f>
        <v>0</v>
      </c>
      <c r="L21" s="359">
        <f>-'Table 5C1C-Intl_VIBE'!H21</f>
        <v>0</v>
      </c>
      <c r="M21" s="359">
        <f>-'Table 5C1D-NOMMA'!H21</f>
        <v>0</v>
      </c>
      <c r="N21" s="359">
        <f>-'Table 5C1E-LFNO'!H21</f>
        <v>0</v>
      </c>
      <c r="O21" s="359">
        <f>-'Table 5C1F-Lake Charles Charter'!H21</f>
        <v>0</v>
      </c>
      <c r="P21" s="359">
        <f>-'Table 5C1G-JS Clark Academy'!H21</f>
        <v>0</v>
      </c>
      <c r="Q21" s="359">
        <f>-'Table 5C1H-Southwest LA Charter'!H21</f>
        <v>0</v>
      </c>
      <c r="R21" s="321">
        <f>-('Table 5C2 - LA Virtual Admy'!H18+'Table 5C2 - LA Virtual Admy'!I18)</f>
        <v>-24326.260479047145</v>
      </c>
      <c r="S21" s="321">
        <f>-'Table 5C3 - LA Connections EBR'!H18-'Table 5C3 - LA Connections EBR'!I18</f>
        <v>-18244.695359285357</v>
      </c>
      <c r="T21" s="321">
        <f t="shared" si="11"/>
        <v>-42570.955838332506</v>
      </c>
      <c r="U21" s="553">
        <f t="shared" si="12"/>
        <v>22015266</v>
      </c>
      <c r="V21" s="319">
        <f t="shared" si="16"/>
        <v>1834606</v>
      </c>
      <c r="W21" s="319">
        <f>'Table 4A Stipends'!G18</f>
        <v>6000</v>
      </c>
      <c r="X21" s="319">
        <f t="shared" si="17"/>
        <v>22021266</v>
      </c>
      <c r="Y21" s="1254"/>
      <c r="Z21" s="1257"/>
      <c r="AA21" s="1257"/>
      <c r="AC21" s="1203" t="e">
        <f>(#REF!*'Table 3 Levels 1&amp;2'!AP22)+'Table 2_State Distrib and Adjs'!F21</f>
        <v>#REF!</v>
      </c>
      <c r="AD21" s="949" t="e">
        <f t="shared" si="13"/>
        <v>#REF!</v>
      </c>
      <c r="AE21" s="284" t="e">
        <f t="shared" si="18"/>
        <v>#REF!</v>
      </c>
    </row>
    <row r="22" spans="1:32">
      <c r="A22" s="99">
        <v>16</v>
      </c>
      <c r="B22" s="302" t="s">
        <v>108</v>
      </c>
      <c r="C22" s="311">
        <f>'Table 3 Levels 1&amp;2'!AO23</f>
        <v>10983502.92</v>
      </c>
      <c r="D22" s="358">
        <f>'[1]Adjusted Amounts'!C22</f>
        <v>3299.8885375240538</v>
      </c>
      <c r="E22" s="358">
        <f>'[2]Adjusted Amounts'!H22</f>
        <v>0</v>
      </c>
      <c r="F22" s="358">
        <f t="shared" si="14"/>
        <v>3299.8885375240538</v>
      </c>
      <c r="G22" s="311">
        <f t="shared" si="10"/>
        <v>3299.8885375240538</v>
      </c>
      <c r="H22" s="358">
        <f t="shared" si="15"/>
        <v>0</v>
      </c>
      <c r="I22" s="358"/>
      <c r="J22" s="358">
        <f>-'Table 5C1A-Madison Prep'!H22</f>
        <v>0</v>
      </c>
      <c r="K22" s="358">
        <f>-'Table 5C1B-DArbonne'!H22</f>
        <v>0</v>
      </c>
      <c r="L22" s="358">
        <f>-'Table 5C1C-Intl_VIBE'!H22</f>
        <v>0</v>
      </c>
      <c r="M22" s="358">
        <f>-'Table 5C1D-NOMMA'!H22</f>
        <v>0</v>
      </c>
      <c r="N22" s="358">
        <f>-'Table 5C1E-LFNO'!H22</f>
        <v>0</v>
      </c>
      <c r="O22" s="358">
        <f>-'Table 5C1F-Lake Charles Charter'!H22</f>
        <v>0</v>
      </c>
      <c r="P22" s="358">
        <f>-'Table 5C1G-JS Clark Academy'!H22</f>
        <v>0</v>
      </c>
      <c r="Q22" s="358">
        <f>-'Table 5C1H-Southwest LA Charter'!H22</f>
        <v>0</v>
      </c>
      <c r="R22" s="315">
        <f>-('Table 5C2 - LA Virtual Admy'!H19+'Table 5C2 - LA Virtual Admy'!I19)</f>
        <v>-24388.076729915221</v>
      </c>
      <c r="S22" s="315">
        <f>-'Table 5C3 - LA Connections EBR'!H19-'Table 5C3 - LA Connections EBR'!I19</f>
        <v>-13302.587307226484</v>
      </c>
      <c r="T22" s="315">
        <f t="shared" si="11"/>
        <v>-37690.664037141702</v>
      </c>
      <c r="U22" s="552">
        <f t="shared" si="12"/>
        <v>10949112</v>
      </c>
      <c r="V22" s="311">
        <f t="shared" si="16"/>
        <v>912426</v>
      </c>
      <c r="W22" s="311">
        <f>'Table 4A Stipends'!G19</f>
        <v>0</v>
      </c>
      <c r="X22" s="311">
        <f t="shared" si="17"/>
        <v>10949112</v>
      </c>
      <c r="Y22" s="1254"/>
      <c r="Z22" s="1257"/>
      <c r="AA22" s="1257"/>
      <c r="AC22" s="1203" t="e">
        <f>(#REF!*'Table 3 Levels 1&amp;2'!AP23)+'Table 2_State Distrib and Adjs'!F22</f>
        <v>#REF!</v>
      </c>
      <c r="AD22" s="949" t="e">
        <f t="shared" si="13"/>
        <v>#REF!</v>
      </c>
      <c r="AE22" s="284" t="e">
        <f t="shared" si="18"/>
        <v>#REF!</v>
      </c>
    </row>
    <row r="23" spans="1:32">
      <c r="A23" s="99">
        <v>17</v>
      </c>
      <c r="B23" s="302" t="s">
        <v>109</v>
      </c>
      <c r="C23" s="311">
        <f>'Table 3 Levels 1&amp;2'!AO24</f>
        <v>177032381.13584569</v>
      </c>
      <c r="D23" s="358">
        <f>'[1]Adjusted Amounts'!C23</f>
        <v>-120014.25804068119</v>
      </c>
      <c r="E23" s="358">
        <f>'[2]Adjusted Amounts'!H23</f>
        <v>-130002.43251403188</v>
      </c>
      <c r="F23" s="358">
        <f t="shared" si="14"/>
        <v>-250016.69055471307</v>
      </c>
      <c r="G23" s="311">
        <f t="shared" si="10"/>
        <v>0</v>
      </c>
      <c r="H23" s="358">
        <f t="shared" si="15"/>
        <v>-250016.69055471307</v>
      </c>
      <c r="I23" s="358">
        <f>-'Table 5B2_RSD_LA'!H18</f>
        <v>-9249495.699129818</v>
      </c>
      <c r="J23" s="358">
        <f>-'Table 5C1A-Madison Prep'!H23</f>
        <v>-847596.11662678875</v>
      </c>
      <c r="K23" s="358">
        <f>-'Table 5C1B-DArbonne'!H23</f>
        <v>0</v>
      </c>
      <c r="L23" s="358">
        <f>-'Table 5C1C-Intl_VIBE'!H23</f>
        <v>0</v>
      </c>
      <c r="M23" s="358">
        <f>-'Table 5C1D-NOMMA'!H23</f>
        <v>0</v>
      </c>
      <c r="N23" s="358">
        <f>-'Table 5C1E-LFNO'!H23</f>
        <v>0</v>
      </c>
      <c r="O23" s="358">
        <f>-'Table 5C1F-Lake Charles Charter'!H23</f>
        <v>0</v>
      </c>
      <c r="P23" s="358">
        <f>-'Table 5C1G-JS Clark Academy'!H23</f>
        <v>0</v>
      </c>
      <c r="Q23" s="358">
        <f>-'Table 5C1H-Southwest LA Charter'!H23</f>
        <v>0</v>
      </c>
      <c r="R23" s="315">
        <f>-('Table 5C2 - LA Virtual Admy'!H20+'Table 5C2 - LA Virtual Admy'!I20)</f>
        <v>-283903.55362741952</v>
      </c>
      <c r="S23" s="315">
        <f>-'Table 5C3 - LA Connections EBR'!H20-'Table 5C3 - LA Connections EBR'!I20</f>
        <v>-312705.36341570847</v>
      </c>
      <c r="T23" s="315">
        <f t="shared" si="11"/>
        <v>-10693700.732799735</v>
      </c>
      <c r="U23" s="555">
        <f t="shared" si="12"/>
        <v>166088664</v>
      </c>
      <c r="V23" s="311">
        <f t="shared" si="16"/>
        <v>13840722</v>
      </c>
      <c r="W23" s="311">
        <f>'Table 4A Stipends'!G20</f>
        <v>44000</v>
      </c>
      <c r="X23" s="358">
        <f t="shared" si="17"/>
        <v>166132664</v>
      </c>
      <c r="Y23" s="1255"/>
      <c r="Z23" s="1258"/>
      <c r="AA23" s="1258"/>
      <c r="AB23">
        <v>8</v>
      </c>
      <c r="AC23" s="1203" t="e">
        <f>((#REF!-640)*'Table 3 Levels 1&amp;2'!AP24)+'Table 2_State Distrib and Adjs'!F23</f>
        <v>#REF!</v>
      </c>
      <c r="AD23" s="949" t="e">
        <f t="shared" si="13"/>
        <v>#REF!</v>
      </c>
      <c r="AE23" s="284" t="e">
        <f t="shared" si="18"/>
        <v>#REF!</v>
      </c>
      <c r="AF23" t="s">
        <v>532</v>
      </c>
    </row>
    <row r="24" spans="1:32">
      <c r="A24" s="99">
        <v>18</v>
      </c>
      <c r="B24" s="302" t="s">
        <v>110</v>
      </c>
      <c r="C24" s="311">
        <f>'Table 3 Levels 1&amp;2'!AO25</f>
        <v>7614284.9008639995</v>
      </c>
      <c r="D24" s="358">
        <f>'[1]Adjusted Amounts'!C24</f>
        <v>9922.943186610486</v>
      </c>
      <c r="E24" s="358">
        <f>'[2]Adjusted Amounts'!H24</f>
        <v>8237.5986609904867</v>
      </c>
      <c r="F24" s="358">
        <f t="shared" si="14"/>
        <v>18160.541847600973</v>
      </c>
      <c r="G24" s="311">
        <f t="shared" si="10"/>
        <v>18160.541847600973</v>
      </c>
      <c r="H24" s="358">
        <f t="shared" si="15"/>
        <v>0</v>
      </c>
      <c r="I24" s="358"/>
      <c r="J24" s="358">
        <f>-'Table 5C1A-Madison Prep'!H24</f>
        <v>0</v>
      </c>
      <c r="K24" s="358">
        <f>-'Table 5C1B-DArbonne'!H24</f>
        <v>0</v>
      </c>
      <c r="L24" s="358">
        <f>-'Table 5C1C-Intl_VIBE'!H24</f>
        <v>0</v>
      </c>
      <c r="M24" s="358">
        <f>-'Table 5C1D-NOMMA'!H24</f>
        <v>0</v>
      </c>
      <c r="N24" s="358">
        <f>-'Table 5C1E-LFNO'!H24</f>
        <v>0</v>
      </c>
      <c r="O24" s="358">
        <f>-'Table 5C1F-Lake Charles Charter'!H24</f>
        <v>0</v>
      </c>
      <c r="P24" s="358">
        <f>-'Table 5C1G-JS Clark Academy'!H24</f>
        <v>0</v>
      </c>
      <c r="Q24" s="358">
        <f>-'Table 5C1H-Southwest LA Charter'!H24</f>
        <v>0</v>
      </c>
      <c r="R24" s="315">
        <f>-('Table 5C2 - LA Virtual Admy'!H21+'Table 5C2 - LA Virtual Admy'!I21)</f>
        <v>-6835.0851892854571</v>
      </c>
      <c r="S24" s="315">
        <f>-'Table 5C3 - LA Connections EBR'!H21-'Table 5C3 - LA Connections EBR'!I21</f>
        <v>0</v>
      </c>
      <c r="T24" s="315">
        <f t="shared" si="11"/>
        <v>-6835.0851892854571</v>
      </c>
      <c r="U24" s="555">
        <f t="shared" si="12"/>
        <v>7625610</v>
      </c>
      <c r="V24" s="311">
        <f t="shared" si="16"/>
        <v>635468</v>
      </c>
      <c r="W24" s="311">
        <f>'Table 4A Stipends'!G21</f>
        <v>0</v>
      </c>
      <c r="X24" s="358">
        <f t="shared" si="17"/>
        <v>7625610</v>
      </c>
      <c r="Y24" s="1255"/>
      <c r="Z24" s="1258"/>
      <c r="AA24" s="1258"/>
      <c r="AB24">
        <v>9</v>
      </c>
      <c r="AC24" s="1203" t="e">
        <f>(#REF!*'Table 3 Levels 1&amp;2'!AP25)+'Table 2_State Distrib and Adjs'!F24</f>
        <v>#REF!</v>
      </c>
      <c r="AD24" s="949" t="e">
        <f t="shared" si="13"/>
        <v>#REF!</v>
      </c>
      <c r="AE24" s="284" t="e">
        <f t="shared" si="18"/>
        <v>#REF!</v>
      </c>
    </row>
    <row r="25" spans="1:32">
      <c r="A25" s="99">
        <v>19</v>
      </c>
      <c r="B25" s="302" t="s">
        <v>111</v>
      </c>
      <c r="C25" s="311">
        <f>'Table 3 Levels 1&amp;2'!AO26</f>
        <v>11932494.330064001</v>
      </c>
      <c r="D25" s="358">
        <f>'[1]Adjusted Amounts'!C25</f>
        <v>3054.7964737814182</v>
      </c>
      <c r="E25" s="358">
        <f>'[2]Adjusted Amounts'!H25</f>
        <v>-14679.077750957269</v>
      </c>
      <c r="F25" s="358">
        <f t="shared" si="14"/>
        <v>-11624.281277175851</v>
      </c>
      <c r="G25" s="311">
        <f t="shared" si="10"/>
        <v>0</v>
      </c>
      <c r="H25" s="358">
        <f t="shared" si="15"/>
        <v>-11624.281277175851</v>
      </c>
      <c r="I25" s="358"/>
      <c r="J25" s="358">
        <f>-'Table 5C1A-Madison Prep'!H25</f>
        <v>0</v>
      </c>
      <c r="K25" s="358">
        <f>-'Table 5C1B-DArbonne'!H25</f>
        <v>0</v>
      </c>
      <c r="L25" s="358">
        <f>-'Table 5C1C-Intl_VIBE'!H25</f>
        <v>0</v>
      </c>
      <c r="M25" s="358">
        <f>-'Table 5C1D-NOMMA'!H25</f>
        <v>0</v>
      </c>
      <c r="N25" s="358">
        <f>-'Table 5C1E-LFNO'!H25</f>
        <v>0</v>
      </c>
      <c r="O25" s="358">
        <f>-'Table 5C1F-Lake Charles Charter'!H25</f>
        <v>0</v>
      </c>
      <c r="P25" s="358">
        <f>-'Table 5C1G-JS Clark Academy'!H25</f>
        <v>0</v>
      </c>
      <c r="Q25" s="358">
        <f>-'Table 5C1H-Southwest LA Charter'!H25</f>
        <v>0</v>
      </c>
      <c r="R25" s="315">
        <f>-('Table 5C2 - LA Virtual Admy'!H22+'Table 5C2 - LA Virtual Admy'!I22)</f>
        <v>-31106.606699854019</v>
      </c>
      <c r="S25" s="315">
        <f>-'Table 5C3 - LA Connections EBR'!H22-'Table 5C3 - LA Connections EBR'!I22</f>
        <v>-37327.928039824823</v>
      </c>
      <c r="T25" s="315">
        <f t="shared" si="11"/>
        <v>-68434.534739678842</v>
      </c>
      <c r="U25" s="555">
        <f t="shared" si="12"/>
        <v>11852436</v>
      </c>
      <c r="V25" s="311">
        <f t="shared" si="16"/>
        <v>987703</v>
      </c>
      <c r="W25" s="311">
        <f>'Table 4A Stipends'!G22</f>
        <v>0</v>
      </c>
      <c r="X25" s="358">
        <f t="shared" si="17"/>
        <v>11852436</v>
      </c>
      <c r="Y25" s="1255"/>
      <c r="Z25" s="1258"/>
      <c r="AA25" s="1258"/>
      <c r="AB25">
        <v>10</v>
      </c>
      <c r="AC25" s="1203" t="e">
        <f>(#REF!*'Table 3 Levels 1&amp;2'!AP26)+'Table 2_State Distrib and Adjs'!F25</f>
        <v>#REF!</v>
      </c>
      <c r="AD25" s="949" t="e">
        <f t="shared" si="13"/>
        <v>#REF!</v>
      </c>
      <c r="AE25" s="284" t="e">
        <f t="shared" si="18"/>
        <v>#REF!</v>
      </c>
    </row>
    <row r="26" spans="1:32">
      <c r="A26" s="100">
        <v>20</v>
      </c>
      <c r="B26" s="303" t="s">
        <v>112</v>
      </c>
      <c r="C26" s="319">
        <f>'Table 3 Levels 1&amp;2'!AO27</f>
        <v>35395563.702288002</v>
      </c>
      <c r="D26" s="359">
        <f>'[1]Adjusted Amounts'!C26</f>
        <v>0</v>
      </c>
      <c r="E26" s="359">
        <f>'[2]Adjusted Amounts'!H26</f>
        <v>0</v>
      </c>
      <c r="F26" s="359">
        <f t="shared" si="14"/>
        <v>0</v>
      </c>
      <c r="G26" s="319">
        <f t="shared" si="10"/>
        <v>0</v>
      </c>
      <c r="H26" s="359">
        <f t="shared" si="15"/>
        <v>0</v>
      </c>
      <c r="I26" s="359"/>
      <c r="J26" s="359">
        <f>-'Table 5C1A-Madison Prep'!H26</f>
        <v>0</v>
      </c>
      <c r="K26" s="359">
        <f>-'Table 5C1B-DArbonne'!H26</f>
        <v>0</v>
      </c>
      <c r="L26" s="359">
        <f>-'Table 5C1C-Intl_VIBE'!H26</f>
        <v>0</v>
      </c>
      <c r="M26" s="359">
        <f>-'Table 5C1D-NOMMA'!H26</f>
        <v>0</v>
      </c>
      <c r="N26" s="359">
        <f>-'Table 5C1E-LFNO'!H26</f>
        <v>0</v>
      </c>
      <c r="O26" s="359">
        <f>-'Table 5C1F-Lake Charles Charter'!H26</f>
        <v>0</v>
      </c>
      <c r="P26" s="359">
        <f>-'Table 5C1G-JS Clark Academy'!H26</f>
        <v>0</v>
      </c>
      <c r="Q26" s="359">
        <f>-'Table 5C1H-Southwest LA Charter'!H26</f>
        <v>0</v>
      </c>
      <c r="R26" s="321">
        <f>-('Table 5C2 - LA Virtual Admy'!H23+'Table 5C2 - LA Virtual Admy'!I23)</f>
        <v>-36038.2457515235</v>
      </c>
      <c r="S26" s="321">
        <f>-'Table 5C3 - LA Connections EBR'!H23-'Table 5C3 - LA Connections EBR'!I23</f>
        <v>-24025.497167682333</v>
      </c>
      <c r="T26" s="321">
        <f t="shared" si="11"/>
        <v>-60063.742919205833</v>
      </c>
      <c r="U26" s="556">
        <f t="shared" si="12"/>
        <v>35335500</v>
      </c>
      <c r="V26" s="319">
        <f t="shared" si="16"/>
        <v>2944625</v>
      </c>
      <c r="W26" s="319">
        <f>'Table 4A Stipends'!G23</f>
        <v>0</v>
      </c>
      <c r="X26" s="359">
        <f t="shared" si="17"/>
        <v>35335500</v>
      </c>
      <c r="Y26" s="1255"/>
      <c r="Z26" s="1258"/>
      <c r="AA26" s="1258"/>
      <c r="AC26" s="1203" t="e">
        <f>(#REF!*'Table 3 Levels 1&amp;2'!AP27)+'Table 2_State Distrib and Adjs'!F26</f>
        <v>#REF!</v>
      </c>
      <c r="AD26" s="949" t="e">
        <f t="shared" si="13"/>
        <v>#REF!</v>
      </c>
      <c r="AE26" s="284" t="e">
        <f t="shared" si="18"/>
        <v>#REF!</v>
      </c>
    </row>
    <row r="27" spans="1:32">
      <c r="A27" s="99">
        <v>21</v>
      </c>
      <c r="B27" s="302" t="s">
        <v>113</v>
      </c>
      <c r="C27" s="311">
        <f>'Table 3 Levels 1&amp;2'!AO28</f>
        <v>18795620.088659998</v>
      </c>
      <c r="D27" s="358">
        <f>'[1]Adjusted Amounts'!C27</f>
        <v>0</v>
      </c>
      <c r="E27" s="358">
        <f>'[2]Adjusted Amounts'!H27</f>
        <v>0</v>
      </c>
      <c r="F27" s="358">
        <f t="shared" si="14"/>
        <v>0</v>
      </c>
      <c r="G27" s="311">
        <f t="shared" si="10"/>
        <v>0</v>
      </c>
      <c r="H27" s="358">
        <f t="shared" si="15"/>
        <v>0</v>
      </c>
      <c r="I27" s="358"/>
      <c r="J27" s="358">
        <f>-'Table 5C1A-Madison Prep'!H27</f>
        <v>0</v>
      </c>
      <c r="K27" s="358">
        <f>-'Table 5C1B-DArbonne'!H27</f>
        <v>0</v>
      </c>
      <c r="L27" s="358">
        <f>-'Table 5C1C-Intl_VIBE'!H27</f>
        <v>0</v>
      </c>
      <c r="M27" s="358">
        <f>-'Table 5C1D-NOMMA'!H27</f>
        <v>0</v>
      </c>
      <c r="N27" s="358">
        <f>-'Table 5C1E-LFNO'!H27</f>
        <v>0</v>
      </c>
      <c r="O27" s="358">
        <f>-'Table 5C1F-Lake Charles Charter'!H27</f>
        <v>0</v>
      </c>
      <c r="P27" s="358">
        <f>-'Table 5C1G-JS Clark Academy'!H27</f>
        <v>0</v>
      </c>
      <c r="Q27" s="358">
        <f>-'Table 5C1H-Southwest LA Charter'!H27</f>
        <v>0</v>
      </c>
      <c r="R27" s="315">
        <f>-('Table 5C2 - LA Virtual Admy'!H24+'Table 5C2 - LA Virtual Admy'!I24)</f>
        <v>-19004.671474883722</v>
      </c>
      <c r="S27" s="315">
        <f>-'Table 5C3 - LA Connections EBR'!H24-'Table 5C3 - LA Connections EBR'!I24</f>
        <v>-63348.904916279069</v>
      </c>
      <c r="T27" s="315">
        <f t="shared" si="11"/>
        <v>-82353.576391162787</v>
      </c>
      <c r="U27" s="555">
        <f t="shared" si="12"/>
        <v>18713267</v>
      </c>
      <c r="V27" s="311">
        <f t="shared" si="16"/>
        <v>1559439</v>
      </c>
      <c r="W27" s="311">
        <f>'Table 4A Stipends'!G24</f>
        <v>0</v>
      </c>
      <c r="X27" s="358">
        <f t="shared" si="17"/>
        <v>18713267</v>
      </c>
      <c r="Y27" s="1255"/>
      <c r="Z27" s="1258"/>
      <c r="AA27" s="1258"/>
      <c r="AC27" s="1203" t="e">
        <f>(#REF!*'Table 3 Levels 1&amp;2'!AP28)+'Table 2_State Distrib and Adjs'!F27</f>
        <v>#REF!</v>
      </c>
      <c r="AD27" s="949" t="e">
        <f t="shared" si="13"/>
        <v>#REF!</v>
      </c>
      <c r="AE27" s="284" t="e">
        <f t="shared" si="18"/>
        <v>#REF!</v>
      </c>
    </row>
    <row r="28" spans="1:32">
      <c r="A28" s="99">
        <v>22</v>
      </c>
      <c r="B28" s="302" t="s">
        <v>114</v>
      </c>
      <c r="C28" s="311">
        <f>'Table 3 Levels 1&amp;2'!AO29</f>
        <v>21505887.339760002</v>
      </c>
      <c r="D28" s="358">
        <f>'[1]Adjusted Amounts'!C28</f>
        <v>0</v>
      </c>
      <c r="E28" s="358">
        <f>'[2]Adjusted Amounts'!H28</f>
        <v>0</v>
      </c>
      <c r="F28" s="358">
        <f t="shared" si="14"/>
        <v>0</v>
      </c>
      <c r="G28" s="311">
        <f t="shared" si="10"/>
        <v>0</v>
      </c>
      <c r="H28" s="358">
        <f t="shared" si="15"/>
        <v>0</v>
      </c>
      <c r="I28" s="358"/>
      <c r="J28" s="358">
        <f>-'Table 5C1A-Madison Prep'!H28</f>
        <v>0</v>
      </c>
      <c r="K28" s="358">
        <f>-'Table 5C1B-DArbonne'!H28</f>
        <v>0</v>
      </c>
      <c r="L28" s="358">
        <f>-'Table 5C1C-Intl_VIBE'!H28</f>
        <v>0</v>
      </c>
      <c r="M28" s="358">
        <f>-'Table 5C1D-NOMMA'!H28</f>
        <v>0</v>
      </c>
      <c r="N28" s="358">
        <f>-'Table 5C1E-LFNO'!H28</f>
        <v>0</v>
      </c>
      <c r="O28" s="358">
        <f>-'Table 5C1F-Lake Charles Charter'!H28</f>
        <v>0</v>
      </c>
      <c r="P28" s="358">
        <f>-'Table 5C1G-JS Clark Academy'!H28</f>
        <v>0</v>
      </c>
      <c r="Q28" s="358">
        <f>-'Table 5C1H-Southwest LA Charter'!H28</f>
        <v>0</v>
      </c>
      <c r="R28" s="315">
        <f>-('Table 5C2 - LA Virtual Admy'!H25+'Table 5C2 - LA Virtual Admy'!I25)</f>
        <v>-13399.306753744549</v>
      </c>
      <c r="S28" s="315">
        <f>-'Table 5C3 - LA Connections EBR'!H25-'Table 5C3 - LA Connections EBR'!I25</f>
        <v>-33498.266884361372</v>
      </c>
      <c r="T28" s="315">
        <f t="shared" si="11"/>
        <v>-46897.573638105925</v>
      </c>
      <c r="U28" s="555">
        <f t="shared" si="12"/>
        <v>21458990</v>
      </c>
      <c r="V28" s="311">
        <f t="shared" si="16"/>
        <v>1788249</v>
      </c>
      <c r="W28" s="311">
        <f>'Table 4A Stipends'!G25</f>
        <v>0</v>
      </c>
      <c r="X28" s="358">
        <f t="shared" si="17"/>
        <v>21458990</v>
      </c>
      <c r="Y28" s="1255"/>
      <c r="Z28" s="1258"/>
      <c r="AA28" s="1258"/>
      <c r="AB28">
        <v>11</v>
      </c>
      <c r="AC28" s="1203" t="e">
        <f>(#REF!*'Table 3 Levels 1&amp;2'!AP29)+'Table 2_State Distrib and Adjs'!F28</f>
        <v>#REF!</v>
      </c>
      <c r="AD28" s="949" t="e">
        <f t="shared" si="13"/>
        <v>#REF!</v>
      </c>
      <c r="AE28" s="284" t="e">
        <f t="shared" si="18"/>
        <v>#REF!</v>
      </c>
    </row>
    <row r="29" spans="1:32">
      <c r="A29" s="99">
        <v>23</v>
      </c>
      <c r="B29" s="302" t="s">
        <v>115</v>
      </c>
      <c r="C29" s="311">
        <f>'Table 3 Levels 1&amp;2'!AO30</f>
        <v>74319417.823662877</v>
      </c>
      <c r="D29" s="358">
        <f>'[1]Adjusted Amounts'!C29</f>
        <v>-2758.9448518506833</v>
      </c>
      <c r="E29" s="358">
        <f>'[2]Adjusted Amounts'!H29</f>
        <v>0</v>
      </c>
      <c r="F29" s="358">
        <f t="shared" si="14"/>
        <v>-2758.9448518506833</v>
      </c>
      <c r="G29" s="311">
        <f t="shared" si="10"/>
        <v>0</v>
      </c>
      <c r="H29" s="358">
        <f t="shared" si="15"/>
        <v>-2758.9448518506833</v>
      </c>
      <c r="I29" s="358"/>
      <c r="J29" s="358">
        <f>-'Table 5C1A-Madison Prep'!H29</f>
        <v>0</v>
      </c>
      <c r="K29" s="358">
        <f>-'Table 5C1B-DArbonne'!H29</f>
        <v>0</v>
      </c>
      <c r="L29" s="358">
        <f>-'Table 5C1C-Intl_VIBE'!H29</f>
        <v>0</v>
      </c>
      <c r="M29" s="358">
        <f>-'Table 5C1D-NOMMA'!H29</f>
        <v>0</v>
      </c>
      <c r="N29" s="358">
        <f>-'Table 5C1E-LFNO'!H29</f>
        <v>0</v>
      </c>
      <c r="O29" s="358">
        <f>-'Table 5C1F-Lake Charles Charter'!H29</f>
        <v>0</v>
      </c>
      <c r="P29" s="358">
        <f>-'Table 5C1G-JS Clark Academy'!H29</f>
        <v>0</v>
      </c>
      <c r="Q29" s="358">
        <f>-'Table 5C1H-Southwest LA Charter'!H29</f>
        <v>0</v>
      </c>
      <c r="R29" s="315">
        <f>-('Table 5C2 - LA Virtual Admy'!H26+'Table 5C2 - LA Virtual Admy'!I26)</f>
        <v>-66415.92298808122</v>
      </c>
      <c r="S29" s="315">
        <f>-'Table 5C3 - LA Connections EBR'!H26-'Table 5C3 - LA Connections EBR'!I26</f>
        <v>-99623.884482121837</v>
      </c>
      <c r="T29" s="315">
        <f t="shared" si="11"/>
        <v>-166039.80747020306</v>
      </c>
      <c r="U29" s="555">
        <f t="shared" si="12"/>
        <v>74150619</v>
      </c>
      <c r="V29" s="311">
        <f t="shared" si="16"/>
        <v>6179218</v>
      </c>
      <c r="W29" s="311">
        <f>'Table 4A Stipends'!G26</f>
        <v>34000</v>
      </c>
      <c r="X29" s="358">
        <f t="shared" si="17"/>
        <v>74184619</v>
      </c>
      <c r="Y29" s="1255"/>
      <c r="Z29" s="1258"/>
      <c r="AA29" s="1258"/>
      <c r="AC29" s="1203" t="e">
        <f>(#REF!*'Table 3 Levels 1&amp;2'!AP30)+'Table 2_State Distrib and Adjs'!F29</f>
        <v>#REF!</v>
      </c>
      <c r="AD29" s="949" t="e">
        <f t="shared" si="13"/>
        <v>#REF!</v>
      </c>
      <c r="AE29" s="284" t="e">
        <f t="shared" si="18"/>
        <v>#REF!</v>
      </c>
    </row>
    <row r="30" spans="1:32">
      <c r="A30" s="99">
        <v>24</v>
      </c>
      <c r="B30" s="302" t="s">
        <v>116</v>
      </c>
      <c r="C30" s="311">
        <f>'Table 3 Levels 1&amp;2'!AO31</f>
        <v>16326093</v>
      </c>
      <c r="D30" s="358">
        <f>'[1]Adjusted Amounts'!C30</f>
        <v>0</v>
      </c>
      <c r="E30" s="358">
        <f>'[2]Adjusted Amounts'!H30</f>
        <v>0</v>
      </c>
      <c r="F30" s="358">
        <f t="shared" si="14"/>
        <v>0</v>
      </c>
      <c r="G30" s="311">
        <f t="shared" si="10"/>
        <v>0</v>
      </c>
      <c r="H30" s="358">
        <f t="shared" si="15"/>
        <v>0</v>
      </c>
      <c r="I30" s="358"/>
      <c r="J30" s="358">
        <f>-'Table 5C1A-Madison Prep'!H30</f>
        <v>0</v>
      </c>
      <c r="K30" s="358">
        <f>-'Table 5C1B-DArbonne'!H30</f>
        <v>0</v>
      </c>
      <c r="L30" s="358">
        <f>-'Table 5C1C-Intl_VIBE'!H30</f>
        <v>0</v>
      </c>
      <c r="M30" s="358">
        <f>-'Table 5C1D-NOMMA'!H30</f>
        <v>0</v>
      </c>
      <c r="N30" s="358">
        <f>-'Table 5C1E-LFNO'!H30</f>
        <v>0</v>
      </c>
      <c r="O30" s="358">
        <f>-'Table 5C1F-Lake Charles Charter'!H30</f>
        <v>0</v>
      </c>
      <c r="P30" s="358">
        <f>-'Table 5C1G-JS Clark Academy'!H30</f>
        <v>0</v>
      </c>
      <c r="Q30" s="358">
        <f>-'Table 5C1H-Southwest LA Charter'!H30</f>
        <v>0</v>
      </c>
      <c r="R30" s="315">
        <f>-('Table 5C2 - LA Virtual Admy'!H27+'Table 5C2 - LA Virtual Admy'!I27)</f>
        <v>-36183.716755319147</v>
      </c>
      <c r="S30" s="315">
        <f>-'Table 5C3 - LA Connections EBR'!H27-'Table 5C3 - LA Connections EBR'!I27</f>
        <v>-3618.3716755319147</v>
      </c>
      <c r="T30" s="315">
        <f t="shared" si="11"/>
        <v>-39802.088430851058</v>
      </c>
      <c r="U30" s="555">
        <f t="shared" si="12"/>
        <v>16286291</v>
      </c>
      <c r="V30" s="311">
        <f t="shared" si="16"/>
        <v>1357191</v>
      </c>
      <c r="W30" s="311">
        <f>'Table 4A Stipends'!G27</f>
        <v>0</v>
      </c>
      <c r="X30" s="358">
        <f t="shared" si="17"/>
        <v>16286291</v>
      </c>
      <c r="Y30" s="1255"/>
      <c r="Z30" s="1258"/>
      <c r="AA30" s="1258"/>
      <c r="AC30" s="1203" t="e">
        <f>(#REF!*'Table 3 Levels 1&amp;2'!AP31)+'Table 2_State Distrib and Adjs'!F30</f>
        <v>#REF!</v>
      </c>
      <c r="AD30" s="949" t="e">
        <f t="shared" si="13"/>
        <v>#REF!</v>
      </c>
      <c r="AE30" s="284" t="e">
        <f t="shared" si="18"/>
        <v>#REF!</v>
      </c>
    </row>
    <row r="31" spans="1:32">
      <c r="A31" s="100">
        <v>25</v>
      </c>
      <c r="B31" s="303" t="s">
        <v>117</v>
      </c>
      <c r="C31" s="319">
        <f>'Table 3 Levels 1&amp;2'!AO32</f>
        <v>10050578.84784344</v>
      </c>
      <c r="D31" s="359">
        <f>'[1]Adjusted Amounts'!C31</f>
        <v>0</v>
      </c>
      <c r="E31" s="359">
        <f>'[2]Adjusted Amounts'!H31</f>
        <v>0</v>
      </c>
      <c r="F31" s="359">
        <f t="shared" si="14"/>
        <v>0</v>
      </c>
      <c r="G31" s="319">
        <f t="shared" si="10"/>
        <v>0</v>
      </c>
      <c r="H31" s="359">
        <f t="shared" si="15"/>
        <v>0</v>
      </c>
      <c r="I31" s="359"/>
      <c r="J31" s="359">
        <f>-'Table 5C1A-Madison Prep'!H31</f>
        <v>0</v>
      </c>
      <c r="K31" s="359">
        <f>-'Table 5C1B-DArbonne'!H31</f>
        <v>0</v>
      </c>
      <c r="L31" s="359">
        <f>-'Table 5C1C-Intl_VIBE'!H31</f>
        <v>0</v>
      </c>
      <c r="M31" s="359">
        <f>-'Table 5C1D-NOMMA'!H31</f>
        <v>0</v>
      </c>
      <c r="N31" s="359">
        <f>-'Table 5C1E-LFNO'!H31</f>
        <v>0</v>
      </c>
      <c r="O31" s="359">
        <f>-'Table 5C1F-Lake Charles Charter'!H31</f>
        <v>0</v>
      </c>
      <c r="P31" s="359">
        <f>-'Table 5C1G-JS Clark Academy'!H31</f>
        <v>0</v>
      </c>
      <c r="Q31" s="359">
        <f>-'Table 5C1H-Southwest LA Charter'!H31</f>
        <v>0</v>
      </c>
      <c r="R31" s="321">
        <f>-('Table 5C2 - LA Virtual Admy'!H28+'Table 5C2 - LA Virtual Admy'!I28)</f>
        <v>-18084.712276821301</v>
      </c>
      <c r="S31" s="321">
        <f>-'Table 5C3 - LA Connections EBR'!H28-'Table 5C3 - LA Connections EBR'!I28</f>
        <v>-4521.1780692053253</v>
      </c>
      <c r="T31" s="321">
        <f t="shared" si="11"/>
        <v>-22605.890346026627</v>
      </c>
      <c r="U31" s="556">
        <f t="shared" si="12"/>
        <v>10027973</v>
      </c>
      <c r="V31" s="319">
        <f t="shared" si="16"/>
        <v>835664</v>
      </c>
      <c r="W31" s="319">
        <f>'Table 4A Stipends'!G28</f>
        <v>0</v>
      </c>
      <c r="X31" s="359">
        <f t="shared" si="17"/>
        <v>10027973</v>
      </c>
      <c r="Y31" s="1255"/>
      <c r="Z31" s="1258"/>
      <c r="AA31" s="1258"/>
      <c r="AB31">
        <v>12</v>
      </c>
      <c r="AC31" s="1203" t="e">
        <f>(#REF!*'Table 3 Levels 1&amp;2'!AP32)+'Table 2_State Distrib and Adjs'!F31</f>
        <v>#REF!</v>
      </c>
      <c r="AD31" s="949" t="e">
        <f t="shared" si="13"/>
        <v>#REF!</v>
      </c>
      <c r="AE31" s="284" t="e">
        <f t="shared" si="18"/>
        <v>#REF!</v>
      </c>
    </row>
    <row r="32" spans="1:32">
      <c r="A32" s="99">
        <v>26</v>
      </c>
      <c r="B32" s="302" t="s">
        <v>118</v>
      </c>
      <c r="C32" s="311">
        <f>'Table 3 Levels 1&amp;2'!AO33</f>
        <v>181708925.3096149</v>
      </c>
      <c r="D32" s="358">
        <f>'[1]Adjusted Amounts'!C32</f>
        <v>-11961.53370293905</v>
      </c>
      <c r="E32" s="358">
        <f>'[2]Adjusted Amounts'!H32</f>
        <v>-577422.02464747627</v>
      </c>
      <c r="F32" s="358">
        <f t="shared" si="14"/>
        <v>-589383.55835041532</v>
      </c>
      <c r="G32" s="311">
        <f t="shared" si="10"/>
        <v>0</v>
      </c>
      <c r="H32" s="358">
        <f t="shared" si="15"/>
        <v>-589383.55835041532</v>
      </c>
      <c r="I32" s="358"/>
      <c r="J32" s="1122">
        <f>-'Table 5C1A-Madison Prep'!H32</f>
        <v>0</v>
      </c>
      <c r="K32" s="49">
        <f>-'Table 5C1B-DArbonne'!H32</f>
        <v>0</v>
      </c>
      <c r="L32" s="358">
        <f>-'Table 5C1C-Intl_VIBE'!H32</f>
        <v>-189994.33023235633</v>
      </c>
      <c r="M32" s="358">
        <f>-'Table 5C1D-NOMMA'!H32</f>
        <v>-454334.26794693904</v>
      </c>
      <c r="N32" s="358">
        <f>-'Table 5C1E-LFNO'!H32</f>
        <v>-202385.2648127274</v>
      </c>
      <c r="O32" s="358">
        <f>-'Table 5C1F-Lake Charles Charter'!H32</f>
        <v>0</v>
      </c>
      <c r="P32" s="358">
        <f>-'Table 5C1G-JS Clark Academy'!H32</f>
        <v>0</v>
      </c>
      <c r="Q32" s="358">
        <f>-'Table 5C1H-Southwest LA Charter'!H32</f>
        <v>0</v>
      </c>
      <c r="R32" s="315">
        <f>-('Table 5C2 - LA Virtual Admy'!H29+'Table 5C2 - LA Virtual Admy'!I29)</f>
        <v>-396509.9065718741</v>
      </c>
      <c r="S32" s="315">
        <f>-'Table 5C3 - LA Connections EBR'!H29-'Table 5C3 - LA Connections EBR'!I29</f>
        <v>-404770.5296254548</v>
      </c>
      <c r="T32" s="315">
        <f t="shared" si="11"/>
        <v>-1647994.299189352</v>
      </c>
      <c r="U32" s="555">
        <f t="shared" si="12"/>
        <v>179471547</v>
      </c>
      <c r="V32" s="311">
        <f t="shared" si="16"/>
        <v>14955962</v>
      </c>
      <c r="W32" s="311">
        <f>'Table 4A Stipends'!G29</f>
        <v>0</v>
      </c>
      <c r="X32" s="358">
        <f t="shared" si="17"/>
        <v>179471547</v>
      </c>
      <c r="Y32" s="1255"/>
      <c r="Z32" s="1258"/>
      <c r="AA32" s="1258"/>
      <c r="AC32" s="1203" t="e">
        <f>(#REF!*'Table 3 Levels 1&amp;2'!AP33)+'Table 2_State Distrib and Adjs'!F32</f>
        <v>#REF!</v>
      </c>
      <c r="AD32" s="949" t="e">
        <f t="shared" si="13"/>
        <v>#REF!</v>
      </c>
      <c r="AE32" s="284" t="e">
        <f t="shared" si="18"/>
        <v>#REF!</v>
      </c>
    </row>
    <row r="33" spans="1:52">
      <c r="A33" s="99">
        <v>27</v>
      </c>
      <c r="B33" s="302" t="s">
        <v>119</v>
      </c>
      <c r="C33" s="311">
        <f>'Table 3 Levels 1&amp;2'!AO34</f>
        <v>35782697.068258241</v>
      </c>
      <c r="D33" s="358">
        <f>'[1]Adjusted Amounts'!C33</f>
        <v>0</v>
      </c>
      <c r="E33" s="358">
        <f>'[2]Adjusted Amounts'!H33</f>
        <v>0</v>
      </c>
      <c r="F33" s="358">
        <f t="shared" si="14"/>
        <v>0</v>
      </c>
      <c r="G33" s="311">
        <f t="shared" si="10"/>
        <v>0</v>
      </c>
      <c r="H33" s="358">
        <f t="shared" si="15"/>
        <v>0</v>
      </c>
      <c r="I33" s="358"/>
      <c r="J33" s="358">
        <f>-'Table 5C1A-Madison Prep'!H33</f>
        <v>0</v>
      </c>
      <c r="K33" s="358">
        <f>-'Table 5C1B-DArbonne'!H33</f>
        <v>0</v>
      </c>
      <c r="L33" s="358">
        <f>-'Table 5C1C-Intl_VIBE'!H33</f>
        <v>0</v>
      </c>
      <c r="M33" s="358">
        <f>-'Table 5C1D-NOMMA'!H33</f>
        <v>0</v>
      </c>
      <c r="N33" s="358">
        <f>-'Table 5C1E-LFNO'!H33</f>
        <v>0</v>
      </c>
      <c r="O33" s="358">
        <f>-'Table 5C1F-Lake Charles Charter'!H33</f>
        <v>0</v>
      </c>
      <c r="P33" s="358">
        <f>-'Table 5C1G-JS Clark Academy'!H33</f>
        <v>0</v>
      </c>
      <c r="Q33" s="358">
        <f>-'Table 5C1H-Southwest LA Charter'!H33</f>
        <v>-50990.662013905574</v>
      </c>
      <c r="R33" s="315">
        <f>-('Table 5C2 - LA Virtual Admy'!H30+'Table 5C2 - LA Virtual Admy'!I30)</f>
        <v>-19121.498255214588</v>
      </c>
      <c r="S33" s="315">
        <f>-'Table 5C3 - LA Connections EBR'!H30-'Table 5C3 - LA Connections EBR'!I30</f>
        <v>-44616.829262167383</v>
      </c>
      <c r="T33" s="315">
        <f t="shared" si="11"/>
        <v>-114728.98953128755</v>
      </c>
      <c r="U33" s="555">
        <f t="shared" si="12"/>
        <v>35667968</v>
      </c>
      <c r="V33" s="311">
        <f t="shared" si="16"/>
        <v>2972331</v>
      </c>
      <c r="W33" s="311">
        <f>'Table 4A Stipends'!G30</f>
        <v>0</v>
      </c>
      <c r="X33" s="358">
        <f t="shared" si="17"/>
        <v>35667968</v>
      </c>
      <c r="Y33" s="1255"/>
      <c r="Z33" s="1258"/>
      <c r="AA33" s="1258"/>
      <c r="AB33">
        <v>13</v>
      </c>
      <c r="AC33" s="1203" t="e">
        <f>(#REF!*'Table 3 Levels 1&amp;2'!AP34)+'Table 2_State Distrib and Adjs'!F33</f>
        <v>#REF!</v>
      </c>
      <c r="AD33" s="949" t="e">
        <f t="shared" si="13"/>
        <v>#REF!</v>
      </c>
      <c r="AE33" s="284" t="e">
        <f t="shared" si="18"/>
        <v>#REF!</v>
      </c>
    </row>
    <row r="34" spans="1:52">
      <c r="A34" s="99">
        <v>28</v>
      </c>
      <c r="B34" s="302" t="s">
        <v>120</v>
      </c>
      <c r="C34" s="311">
        <f>'Table 3 Levels 1&amp;2'!AO35</f>
        <v>115769516.57933185</v>
      </c>
      <c r="D34" s="358">
        <f>'[1]Adjusted Amounts'!C34</f>
        <v>83265.783342431183</v>
      </c>
      <c r="E34" s="358">
        <f>'[2]Adjusted Amounts'!H34</f>
        <v>-102711.67592119289</v>
      </c>
      <c r="F34" s="358">
        <f t="shared" si="14"/>
        <v>-19445.892578761704</v>
      </c>
      <c r="G34" s="311">
        <f t="shared" si="10"/>
        <v>0</v>
      </c>
      <c r="H34" s="358">
        <f t="shared" si="15"/>
        <v>-19445.892578761704</v>
      </c>
      <c r="I34" s="358"/>
      <c r="J34" s="358">
        <f>-'Table 5C1A-Madison Prep'!H34</f>
        <v>0</v>
      </c>
      <c r="K34" s="358">
        <f>-'Table 5C1B-DArbonne'!H34</f>
        <v>0</v>
      </c>
      <c r="L34" s="358">
        <f>-'Table 5C1C-Intl_VIBE'!H34</f>
        <v>0</v>
      </c>
      <c r="M34" s="358">
        <f>-'Table 5C1D-NOMMA'!H34</f>
        <v>0</v>
      </c>
      <c r="N34" s="358">
        <f>-'Table 5C1E-LFNO'!H34</f>
        <v>0</v>
      </c>
      <c r="O34" s="358">
        <f>-'Table 5C1F-Lake Charles Charter'!H34</f>
        <v>0</v>
      </c>
      <c r="P34" s="358">
        <f>-'Table 5C1G-JS Clark Academy'!H34</f>
        <v>-3857.569443848317</v>
      </c>
      <c r="Q34" s="358">
        <f>-'Table 5C1H-Southwest LA Charter'!H34</f>
        <v>0</v>
      </c>
      <c r="R34" s="315">
        <f>-('Table 5C2 - LA Virtual Admy'!H31+'Table 5C2 - LA Virtual Admy'!I31)</f>
        <v>-150445.20831008433</v>
      </c>
      <c r="S34" s="315">
        <f>-'Table 5C3 - LA Connections EBR'!H31-'Table 5C3 - LA Connections EBR'!I31</f>
        <v>-177448.19441702258</v>
      </c>
      <c r="T34" s="315">
        <f t="shared" si="11"/>
        <v>-331750.97217095521</v>
      </c>
      <c r="U34" s="555">
        <f t="shared" si="12"/>
        <v>115418320</v>
      </c>
      <c r="V34" s="311">
        <f t="shared" si="16"/>
        <v>9618193</v>
      </c>
      <c r="W34" s="311">
        <f>'Table 4A Stipends'!G31</f>
        <v>98000</v>
      </c>
      <c r="X34" s="358">
        <f t="shared" si="17"/>
        <v>115516320</v>
      </c>
      <c r="Y34" s="1255"/>
      <c r="Z34" s="1258"/>
      <c r="AA34" s="1258"/>
      <c r="AB34">
        <v>14</v>
      </c>
      <c r="AC34" s="1203" t="e">
        <f>(#REF!*'Table 3 Levels 1&amp;2'!AP35)+'Table 2_State Distrib and Adjs'!F34</f>
        <v>#REF!</v>
      </c>
      <c r="AD34" s="949" t="e">
        <f t="shared" si="13"/>
        <v>#REF!</v>
      </c>
      <c r="AE34" s="284" t="e">
        <f t="shared" si="18"/>
        <v>#REF!</v>
      </c>
    </row>
    <row r="35" spans="1:52">
      <c r="A35" s="99">
        <v>29</v>
      </c>
      <c r="B35" s="302" t="s">
        <v>121</v>
      </c>
      <c r="C35" s="311">
        <f>'Table 3 Levels 1&amp;2'!AO36</f>
        <v>64394010.321402714</v>
      </c>
      <c r="D35" s="358">
        <f>'[1]Adjusted Amounts'!C35</f>
        <v>0</v>
      </c>
      <c r="E35" s="358">
        <f>'[2]Adjusted Amounts'!H35</f>
        <v>0</v>
      </c>
      <c r="F35" s="358">
        <f t="shared" si="14"/>
        <v>0</v>
      </c>
      <c r="G35" s="311">
        <f t="shared" si="10"/>
        <v>0</v>
      </c>
      <c r="H35" s="358">
        <f t="shared" si="15"/>
        <v>0</v>
      </c>
      <c r="I35" s="358"/>
      <c r="J35" s="358">
        <f>-'Table 5C1A-Madison Prep'!H35</f>
        <v>0</v>
      </c>
      <c r="K35" s="358">
        <f>-'Table 5C1B-DArbonne'!H35</f>
        <v>0</v>
      </c>
      <c r="L35" s="358">
        <f>-'Table 5C1C-Intl_VIBE'!H35</f>
        <v>0</v>
      </c>
      <c r="M35" s="358">
        <f>-'Table 5C1D-NOMMA'!H35</f>
        <v>0</v>
      </c>
      <c r="N35" s="358">
        <f>-'Table 5C1E-LFNO'!H35</f>
        <v>0</v>
      </c>
      <c r="O35" s="358">
        <f>-'Table 5C1F-Lake Charles Charter'!H35</f>
        <v>0</v>
      </c>
      <c r="P35" s="358">
        <f>-'Table 5C1G-JS Clark Academy'!H35</f>
        <v>0</v>
      </c>
      <c r="Q35" s="358">
        <f>-'Table 5C1H-Southwest LA Charter'!H35</f>
        <v>0</v>
      </c>
      <c r="R35" s="315">
        <f>-('Table 5C2 - LA Virtual Admy'!H32+'Table 5C2 - LA Virtual Admy'!I32)</f>
        <v>-56490.103359663182</v>
      </c>
      <c r="S35" s="315">
        <f>-'Table 5C3 - LA Connections EBR'!H32-'Table 5C3 - LA Connections EBR'!I32</f>
        <v>-37660.068906442117</v>
      </c>
      <c r="T35" s="315">
        <f t="shared" si="11"/>
        <v>-94150.172266105306</v>
      </c>
      <c r="U35" s="555">
        <f t="shared" si="12"/>
        <v>64299860</v>
      </c>
      <c r="V35" s="311">
        <f t="shared" si="16"/>
        <v>5358322</v>
      </c>
      <c r="W35" s="311">
        <f>'Table 4A Stipends'!G32</f>
        <v>24000</v>
      </c>
      <c r="X35" s="358">
        <f t="shared" si="17"/>
        <v>64323860</v>
      </c>
      <c r="Y35" s="1255"/>
      <c r="Z35" s="1258"/>
      <c r="AA35" s="1258"/>
      <c r="AC35" s="1203" t="e">
        <f>(#REF!*'Table 3 Levels 1&amp;2'!AP36)+'Table 2_State Distrib and Adjs'!F35</f>
        <v>#REF!</v>
      </c>
      <c r="AD35" s="949" t="e">
        <f t="shared" si="13"/>
        <v>#REF!</v>
      </c>
      <c r="AE35" s="284" t="e">
        <f t="shared" si="18"/>
        <v>#REF!</v>
      </c>
    </row>
    <row r="36" spans="1:52">
      <c r="A36" s="100">
        <v>30</v>
      </c>
      <c r="B36" s="303" t="s">
        <v>122</v>
      </c>
      <c r="C36" s="319">
        <f>'Table 3 Levels 1&amp;2'!AO37</f>
        <v>15786532.911345201</v>
      </c>
      <c r="D36" s="359">
        <f>'[1]Adjusted Amounts'!C36</f>
        <v>0</v>
      </c>
      <c r="E36" s="359">
        <f>'[2]Adjusted Amounts'!H36</f>
        <v>0</v>
      </c>
      <c r="F36" s="359">
        <f t="shared" si="14"/>
        <v>0</v>
      </c>
      <c r="G36" s="319">
        <f t="shared" si="10"/>
        <v>0</v>
      </c>
      <c r="H36" s="359">
        <f t="shared" si="15"/>
        <v>0</v>
      </c>
      <c r="I36" s="359"/>
      <c r="J36" s="359">
        <f>-'Table 5C1A-Madison Prep'!H36</f>
        <v>0</v>
      </c>
      <c r="K36" s="359">
        <f>-'Table 5C1B-DArbonne'!H36</f>
        <v>0</v>
      </c>
      <c r="L36" s="359">
        <f>-'Table 5C1C-Intl_VIBE'!H36</f>
        <v>0</v>
      </c>
      <c r="M36" s="359">
        <f>-'Table 5C1D-NOMMA'!H36</f>
        <v>0</v>
      </c>
      <c r="N36" s="359">
        <f>-'Table 5C1E-LFNO'!H36</f>
        <v>0</v>
      </c>
      <c r="O36" s="359">
        <f>-'Table 5C1F-Lake Charles Charter'!H36</f>
        <v>0</v>
      </c>
      <c r="P36" s="359">
        <f>-'Table 5C1G-JS Clark Academy'!H36</f>
        <v>0</v>
      </c>
      <c r="Q36" s="359">
        <f>-'Table 5C1H-Southwest LA Charter'!H36</f>
        <v>0</v>
      </c>
      <c r="R36" s="321">
        <f>-('Table 5C2 - LA Virtual Admy'!H33+'Table 5C2 - LA Virtual Admy'!I33)</f>
        <v>-25503.284186341196</v>
      </c>
      <c r="S36" s="321">
        <f>-'Table 5C3 - LA Connections EBR'!H33-'Table 5C3 - LA Connections EBR'!I33</f>
        <v>-12751.642093170598</v>
      </c>
      <c r="T36" s="321">
        <f t="shared" si="11"/>
        <v>-38254.926279511797</v>
      </c>
      <c r="U36" s="556">
        <f t="shared" si="12"/>
        <v>15748278</v>
      </c>
      <c r="V36" s="319">
        <f t="shared" si="16"/>
        <v>1312357</v>
      </c>
      <c r="W36" s="319">
        <f>'Table 4A Stipends'!G33</f>
        <v>0</v>
      </c>
      <c r="X36" s="359">
        <f t="shared" si="17"/>
        <v>15748278</v>
      </c>
      <c r="Y36" s="1255"/>
      <c r="Z36" s="1258"/>
      <c r="AA36" s="1258"/>
      <c r="AC36" s="1203" t="e">
        <f>(#REF!*'Table 3 Levels 1&amp;2'!AP37)+'Table 2_State Distrib and Adjs'!F36</f>
        <v>#REF!</v>
      </c>
      <c r="AD36" s="949" t="e">
        <f t="shared" si="13"/>
        <v>#REF!</v>
      </c>
      <c r="AE36" s="284" t="e">
        <f t="shared" si="18"/>
        <v>#REF!</v>
      </c>
    </row>
    <row r="37" spans="1:52">
      <c r="A37" s="99">
        <v>31</v>
      </c>
      <c r="B37" s="302" t="s">
        <v>123</v>
      </c>
      <c r="C37" s="311">
        <f>'Table 3 Levels 1&amp;2'!AO38</f>
        <v>31831317.859458722</v>
      </c>
      <c r="D37" s="358">
        <f>'[1]Adjusted Amounts'!C37</f>
        <v>2426.8569762554553</v>
      </c>
      <c r="E37" s="358">
        <f>'[2]Adjusted Amounts'!H37</f>
        <v>-5016.8919954006033</v>
      </c>
      <c r="F37" s="358">
        <f t="shared" si="14"/>
        <v>-2590.035019145148</v>
      </c>
      <c r="G37" s="311">
        <f t="shared" si="10"/>
        <v>0</v>
      </c>
      <c r="H37" s="358">
        <f t="shared" si="15"/>
        <v>-2590.035019145148</v>
      </c>
      <c r="I37" s="358"/>
      <c r="J37" s="49">
        <f>-'Table 5C1A-Madison Prep'!H37</f>
        <v>0</v>
      </c>
      <c r="K37" s="358">
        <f>-'Table 5C1B-DArbonne'!H37</f>
        <v>-39758.086319386377</v>
      </c>
      <c r="L37" s="358">
        <f>-'Table 5C1C-Intl_VIBE'!H37</f>
        <v>0</v>
      </c>
      <c r="M37" s="358">
        <f>-'Table 5C1D-NOMMA'!H37</f>
        <v>0</v>
      </c>
      <c r="N37" s="358">
        <f>-'Table 5C1E-LFNO'!H37</f>
        <v>0</v>
      </c>
      <c r="O37" s="358">
        <f>-'Table 5C1F-Lake Charles Charter'!H37</f>
        <v>0</v>
      </c>
      <c r="P37" s="358">
        <f>-'Table 5C1G-JS Clark Academy'!H37</f>
        <v>0</v>
      </c>
      <c r="Q37" s="358">
        <f>-'Table 5C1H-Southwest LA Charter'!H37</f>
        <v>0</v>
      </c>
      <c r="R37" s="315">
        <f>-('Table 5C2 - LA Virtual Admy'!H34+'Table 5C2 - LA Virtual Admy'!I34)</f>
        <v>-9939.5215798465942</v>
      </c>
      <c r="S37" s="315">
        <f>-'Table 5C3 - LA Connections EBR'!H34-'Table 5C3 - LA Connections EBR'!I34</f>
        <v>-19879.043159693188</v>
      </c>
      <c r="T37" s="315">
        <f t="shared" si="11"/>
        <v>-69576.65105892616</v>
      </c>
      <c r="U37" s="555">
        <f t="shared" si="12"/>
        <v>31759151</v>
      </c>
      <c r="V37" s="311">
        <f t="shared" si="16"/>
        <v>2646596</v>
      </c>
      <c r="W37" s="311">
        <f>'Table 4A Stipends'!G34</f>
        <v>0</v>
      </c>
      <c r="X37" s="358">
        <f t="shared" si="17"/>
        <v>31759151</v>
      </c>
      <c r="Y37" s="1255"/>
      <c r="Z37" s="1258"/>
      <c r="AA37" s="1258"/>
      <c r="AC37" s="1203" t="e">
        <f>(#REF!*'Table 3 Levels 1&amp;2'!AP38)+'Table 2_State Distrib and Adjs'!F37</f>
        <v>#REF!</v>
      </c>
      <c r="AD37" s="949" t="e">
        <f t="shared" si="13"/>
        <v>#REF!</v>
      </c>
      <c r="AE37" s="284" t="e">
        <f t="shared" si="18"/>
        <v>#REF!</v>
      </c>
    </row>
    <row r="38" spans="1:52">
      <c r="A38" s="99">
        <v>32</v>
      </c>
      <c r="B38" s="302" t="s">
        <v>124</v>
      </c>
      <c r="C38" s="311">
        <f>'Table 3 Levels 1&amp;2'!AO39</f>
        <v>151155256.27201599</v>
      </c>
      <c r="D38" s="358">
        <f>'[1]Adjusted Amounts'!C38</f>
        <v>0</v>
      </c>
      <c r="E38" s="358">
        <f>'[2]Adjusted Amounts'!H38</f>
        <v>0</v>
      </c>
      <c r="F38" s="358">
        <f t="shared" si="14"/>
        <v>0</v>
      </c>
      <c r="G38" s="311">
        <f t="shared" si="10"/>
        <v>0</v>
      </c>
      <c r="H38" s="358">
        <f t="shared" si="15"/>
        <v>0</v>
      </c>
      <c r="I38" s="358"/>
      <c r="J38" s="358">
        <f>-'Table 5C1A-Madison Prep'!H38</f>
        <v>0</v>
      </c>
      <c r="K38" s="358">
        <f>-'Table 5C1B-DArbonne'!H38</f>
        <v>0</v>
      </c>
      <c r="L38" s="358">
        <f>-'Table 5C1C-Intl_VIBE'!H38</f>
        <v>0</v>
      </c>
      <c r="M38" s="358">
        <f>-'Table 5C1D-NOMMA'!H38</f>
        <v>0</v>
      </c>
      <c r="N38" s="358">
        <f>-'Table 5C1E-LFNO'!H38</f>
        <v>0</v>
      </c>
      <c r="O38" s="358">
        <f>-'Table 5C1F-Lake Charles Charter'!H38</f>
        <v>0</v>
      </c>
      <c r="P38" s="358">
        <f>-'Table 5C1G-JS Clark Academy'!H38</f>
        <v>0</v>
      </c>
      <c r="Q38" s="358">
        <f>-'Table 5C1H-Southwest LA Charter'!H38</f>
        <v>0</v>
      </c>
      <c r="R38" s="315">
        <f>-('Table 5C2 - LA Virtual Admy'!H35+'Table 5C2 - LA Virtual Admy'!I35)</f>
        <v>-194921.1444974617</v>
      </c>
      <c r="S38" s="315">
        <f>-'Table 5C3 - LA Connections EBR'!H35-'Table 5C3 - LA Connections EBR'!I35</f>
        <v>-462937.71818147157</v>
      </c>
      <c r="T38" s="315">
        <f t="shared" si="11"/>
        <v>-657858.86267893331</v>
      </c>
      <c r="U38" s="555">
        <f t="shared" si="12"/>
        <v>150497397</v>
      </c>
      <c r="V38" s="311">
        <f t="shared" si="16"/>
        <v>12541450</v>
      </c>
      <c r="W38" s="311">
        <f>'Table 4A Stipends'!G35</f>
        <v>0</v>
      </c>
      <c r="X38" s="358">
        <f t="shared" si="17"/>
        <v>150497397</v>
      </c>
      <c r="Y38" s="1255"/>
      <c r="Z38" s="1258"/>
      <c r="AA38" s="1258"/>
      <c r="AC38" s="1203" t="e">
        <f>(#REF!*'Table 3 Levels 1&amp;2'!AP39)+'Table 2_State Distrib and Adjs'!F38</f>
        <v>#REF!</v>
      </c>
      <c r="AD38" s="949" t="e">
        <f t="shared" si="13"/>
        <v>#REF!</v>
      </c>
      <c r="AE38" s="284" t="e">
        <f t="shared" si="18"/>
        <v>#REF!</v>
      </c>
    </row>
    <row r="39" spans="1:52">
      <c r="A39" s="99">
        <v>33</v>
      </c>
      <c r="B39" s="302" t="s">
        <v>125</v>
      </c>
      <c r="C39" s="311">
        <f>'Table 3 Levels 1&amp;2'!AO40</f>
        <v>10724859.125391999</v>
      </c>
      <c r="D39" s="358">
        <f>'[1]Adjusted Amounts'!C39</f>
        <v>-22324.016662026203</v>
      </c>
      <c r="E39" s="358">
        <f>'[2]Adjusted Amounts'!H39</f>
        <v>-31461.550738993945</v>
      </c>
      <c r="F39" s="358">
        <f t="shared" si="14"/>
        <v>-53785.567401020147</v>
      </c>
      <c r="G39" s="311">
        <f t="shared" si="10"/>
        <v>0</v>
      </c>
      <c r="H39" s="358">
        <f t="shared" si="15"/>
        <v>-53785.567401020147</v>
      </c>
      <c r="I39" s="358"/>
      <c r="J39" s="358">
        <f>-'Table 5C1A-Madison Prep'!H39</f>
        <v>0</v>
      </c>
      <c r="K39" s="358">
        <f>-'Table 5C1B-DArbonne'!H39</f>
        <v>0</v>
      </c>
      <c r="L39" s="358">
        <f>-'Table 5C1C-Intl_VIBE'!H39</f>
        <v>0</v>
      </c>
      <c r="M39" s="358">
        <f>-'Table 5C1D-NOMMA'!H39</f>
        <v>0</v>
      </c>
      <c r="N39" s="358">
        <f>-'Table 5C1E-LFNO'!H39</f>
        <v>0</v>
      </c>
      <c r="O39" s="358">
        <f>-'Table 5C1F-Lake Charles Charter'!H39</f>
        <v>0</v>
      </c>
      <c r="P39" s="358">
        <f>-'Table 5C1G-JS Clark Academy'!H39</f>
        <v>0</v>
      </c>
      <c r="Q39" s="358">
        <f>-'Table 5C1H-Southwest LA Charter'!H39</f>
        <v>0</v>
      </c>
      <c r="R39" s="315">
        <f>-('Table 5C2 - LA Virtual Admy'!H36+'Table 5C2 - LA Virtual Admy'!I36)</f>
        <v>-11969.708845303572</v>
      </c>
      <c r="S39" s="315">
        <f>-'Table 5C3 - LA Connections EBR'!H36-'Table 5C3 - LA Connections EBR'!I36</f>
        <v>-23939.417690607144</v>
      </c>
      <c r="T39" s="315">
        <f t="shared" ref="T39:T70" si="19">SUM(I39:S39)</f>
        <v>-35909.12653591072</v>
      </c>
      <c r="U39" s="555">
        <f t="shared" ref="U39:U70" si="20">ROUND(C39+F39+T39,0)</f>
        <v>10635164</v>
      </c>
      <c r="V39" s="311">
        <f t="shared" si="16"/>
        <v>886264</v>
      </c>
      <c r="W39" s="311">
        <f>'Table 4A Stipends'!G36</f>
        <v>4000</v>
      </c>
      <c r="X39" s="358">
        <f t="shared" si="17"/>
        <v>10639164</v>
      </c>
      <c r="Y39" s="1255"/>
      <c r="Z39" s="1258"/>
      <c r="AA39" s="1258"/>
      <c r="AB39">
        <v>15</v>
      </c>
      <c r="AC39" s="1203" t="e">
        <f>(#REF!*'Table 3 Levels 1&amp;2'!AP40)+'Table 2_State Distrib and Adjs'!F39</f>
        <v>#REF!</v>
      </c>
      <c r="AD39" s="949" t="e">
        <f t="shared" ref="AD39:AD70" si="21">U39-AC39</f>
        <v>#REF!</v>
      </c>
      <c r="AE39" s="284" t="e">
        <f t="shared" si="18"/>
        <v>#REF!</v>
      </c>
    </row>
    <row r="40" spans="1:52">
      <c r="A40" s="99">
        <v>34</v>
      </c>
      <c r="B40" s="302" t="s">
        <v>126</v>
      </c>
      <c r="C40" s="311">
        <f>'Table 3 Levels 1&amp;2'!AO41</f>
        <v>28399157.805536002</v>
      </c>
      <c r="D40" s="358">
        <f>'[1]Adjusted Amounts'!C40</f>
        <v>-3204.4489837342553</v>
      </c>
      <c r="E40" s="358">
        <f>'[2]Adjusted Amounts'!H40</f>
        <v>1196.099079508449</v>
      </c>
      <c r="F40" s="358">
        <f t="shared" si="14"/>
        <v>-2008.3499042258063</v>
      </c>
      <c r="G40" s="311">
        <f t="shared" si="10"/>
        <v>0</v>
      </c>
      <c r="H40" s="358">
        <f t="shared" si="15"/>
        <v>-2008.3499042258063</v>
      </c>
      <c r="I40" s="358"/>
      <c r="J40" s="358">
        <f>-'Table 5C1A-Madison Prep'!H40</f>
        <v>0</v>
      </c>
      <c r="K40" s="358">
        <f>-'Table 5C1B-DArbonne'!H40</f>
        <v>0</v>
      </c>
      <c r="L40" s="358">
        <f>-'Table 5C1C-Intl_VIBE'!H40</f>
        <v>0</v>
      </c>
      <c r="M40" s="358">
        <f>-'Table 5C1D-NOMMA'!H40</f>
        <v>0</v>
      </c>
      <c r="N40" s="358">
        <f>-'Table 5C1E-LFNO'!H40</f>
        <v>0</v>
      </c>
      <c r="O40" s="358">
        <f>-'Table 5C1F-Lake Charles Charter'!H40</f>
        <v>0</v>
      </c>
      <c r="P40" s="358">
        <f>-'Table 5C1G-JS Clark Academy'!H40</f>
        <v>0</v>
      </c>
      <c r="Q40" s="358">
        <f>-'Table 5C1H-Southwest LA Charter'!H40</f>
        <v>0</v>
      </c>
      <c r="R40" s="315">
        <f>-('Table 5C2 - LA Virtual Admy'!H37+'Table 5C2 - LA Virtual Admy'!I37)</f>
        <v>-99716.143980112363</v>
      </c>
      <c r="S40" s="315">
        <f>-'Table 5C3 - LA Connections EBR'!H37-'Table 5C3 - LA Connections EBR'!I37</f>
        <v>-46534.200524052445</v>
      </c>
      <c r="T40" s="315">
        <f t="shared" si="19"/>
        <v>-146250.34450416482</v>
      </c>
      <c r="U40" s="555">
        <f t="shared" si="20"/>
        <v>28250899</v>
      </c>
      <c r="V40" s="311">
        <f t="shared" si="16"/>
        <v>2354242</v>
      </c>
      <c r="W40" s="311">
        <f>'Table 4A Stipends'!G37</f>
        <v>0</v>
      </c>
      <c r="X40" s="358">
        <f t="shared" si="17"/>
        <v>28250899</v>
      </c>
      <c r="Y40" s="1255"/>
      <c r="Z40" s="1258"/>
      <c r="AA40" s="1258"/>
      <c r="AB40">
        <v>16</v>
      </c>
      <c r="AC40" s="1203" t="e">
        <f>(#REF!*'Table 3 Levels 1&amp;2'!AP41)+'Table 2_State Distrib and Adjs'!F40</f>
        <v>#REF!</v>
      </c>
      <c r="AD40" s="949" t="e">
        <f t="shared" si="21"/>
        <v>#REF!</v>
      </c>
      <c r="AE40" s="284" t="e">
        <f t="shared" si="18"/>
        <v>#REF!</v>
      </c>
    </row>
    <row r="41" spans="1:52">
      <c r="A41" s="100">
        <v>35</v>
      </c>
      <c r="B41" s="303" t="s">
        <v>127</v>
      </c>
      <c r="C41" s="319">
        <f>'Table 3 Levels 1&amp;2'!AO42</f>
        <v>33391832.964128643</v>
      </c>
      <c r="D41" s="359">
        <f>'[1]Adjusted Amounts'!C41</f>
        <v>-2751.2730480111859</v>
      </c>
      <c r="E41" s="359">
        <f>'[2]Adjusted Amounts'!H41</f>
        <v>1367.8040450900012</v>
      </c>
      <c r="F41" s="359">
        <f t="shared" si="14"/>
        <v>-1383.4690029211847</v>
      </c>
      <c r="G41" s="319">
        <f t="shared" si="10"/>
        <v>0</v>
      </c>
      <c r="H41" s="359">
        <f t="shared" si="15"/>
        <v>-1383.4690029211847</v>
      </c>
      <c r="I41" s="359"/>
      <c r="J41" s="359">
        <f>-'Table 5C1A-Madison Prep'!H41</f>
        <v>0</v>
      </c>
      <c r="K41" s="359">
        <f>-'Table 5C1B-DArbonne'!H41</f>
        <v>0</v>
      </c>
      <c r="L41" s="359">
        <f>-'Table 5C1C-Intl_VIBE'!H41</f>
        <v>0</v>
      </c>
      <c r="M41" s="359">
        <f>-'Table 5C1D-NOMMA'!H41</f>
        <v>0</v>
      </c>
      <c r="N41" s="359">
        <f>-'Table 5C1E-LFNO'!H41</f>
        <v>0</v>
      </c>
      <c r="O41" s="359">
        <f>-'Table 5C1F-Lake Charles Charter'!H41</f>
        <v>0</v>
      </c>
      <c r="P41" s="359">
        <f>-'Table 5C1G-JS Clark Academy'!H41</f>
        <v>0</v>
      </c>
      <c r="Q41" s="359">
        <f>-'Table 5C1H-Southwest LA Charter'!H41</f>
        <v>0</v>
      </c>
      <c r="R41" s="321">
        <f>-('Table 5C2 - LA Virtual Admy'!H38+'Table 5C2 - LA Virtual Admy'!I38)</f>
        <v>-87467.050907578872</v>
      </c>
      <c r="S41" s="321">
        <f>-'Table 5C3 - LA Connections EBR'!H38-'Table 5C3 - LA Connections EBR'!I38</f>
        <v>-82321.930265956587</v>
      </c>
      <c r="T41" s="321">
        <f t="shared" si="19"/>
        <v>-169788.98117353546</v>
      </c>
      <c r="U41" s="556">
        <f t="shared" si="20"/>
        <v>33220661</v>
      </c>
      <c r="V41" s="319">
        <f t="shared" si="16"/>
        <v>2768388</v>
      </c>
      <c r="W41" s="319">
        <f>'Table 4A Stipends'!G38</f>
        <v>0</v>
      </c>
      <c r="X41" s="359">
        <f t="shared" si="17"/>
        <v>33220661</v>
      </c>
      <c r="Y41" s="1255"/>
      <c r="Z41" s="1258"/>
      <c r="AA41" s="1258"/>
      <c r="AB41">
        <v>17</v>
      </c>
      <c r="AC41" s="1203" t="e">
        <f>(#REF!*'Table 3 Levels 1&amp;2'!AP42)+'Table 2_State Distrib and Adjs'!F41</f>
        <v>#REF!</v>
      </c>
      <c r="AD41" s="949" t="e">
        <f t="shared" si="21"/>
        <v>#REF!</v>
      </c>
      <c r="AE41" s="284" t="e">
        <f t="shared" si="18"/>
        <v>#REF!</v>
      </c>
    </row>
    <row r="42" spans="1:52" ht="12.75" customHeight="1">
      <c r="A42" s="99">
        <v>36</v>
      </c>
      <c r="B42" s="302" t="s">
        <v>128</v>
      </c>
      <c r="C42" s="311">
        <f>'Table 3 Levels 1&amp;2'!AO43</f>
        <v>173218184.92818975</v>
      </c>
      <c r="D42" s="358">
        <f>'[1]Adjusted Amounts'!C42</f>
        <v>1989.6294367055889</v>
      </c>
      <c r="E42" s="358">
        <f>'[2]Adjusted Amounts'!H42</f>
        <v>-6279.6590136872237</v>
      </c>
      <c r="F42" s="358">
        <f t="shared" si="14"/>
        <v>-4290.0295769816348</v>
      </c>
      <c r="G42" s="311">
        <f t="shared" si="10"/>
        <v>0</v>
      </c>
      <c r="H42" s="358">
        <f t="shared" si="15"/>
        <v>-4290.0295769816348</v>
      </c>
      <c r="I42" s="358">
        <f>-'Table 5B1_RSD_Orleans'!H70</f>
        <v>-123394251.94473901</v>
      </c>
      <c r="J42" s="49">
        <f>-'Table 5C1A-Madison Prep'!H42</f>
        <v>0</v>
      </c>
      <c r="K42" s="358">
        <f>-'Table 5C1B-DArbonne'!H42</f>
        <v>0</v>
      </c>
      <c r="L42" s="358">
        <f>-'Table 5C1C-Intl_VIBE'!H42</f>
        <v>-1646877.876230194</v>
      </c>
      <c r="M42" s="358">
        <f>-'Table 5C1D-NOMMA'!H42</f>
        <v>-443718.39152316109</v>
      </c>
      <c r="N42" s="358">
        <f>-'Table 5C1E-LFNO'!H42</f>
        <v>-622912.35733059153</v>
      </c>
      <c r="O42" s="358">
        <f>-'Table 5C1F-Lake Charles Charter'!H42</f>
        <v>0</v>
      </c>
      <c r="P42" s="358">
        <f>-'Table 5C1G-JS Clark Academy'!H42</f>
        <v>0</v>
      </c>
      <c r="Q42" s="358">
        <f>-'Table 5C1H-Southwest LA Charter'!H42</f>
        <v>0</v>
      </c>
      <c r="R42" s="315">
        <f>-('Table 5C2 - LA Virtual Admy'!H39+'Table 5C2 - LA Virtual Admy'!I39)</f>
        <v>-220881.50298295828</v>
      </c>
      <c r="S42" s="315">
        <f>-'Table 5C3 - LA Connections EBR'!H39-'Table 5C3 - LA Connections EBR'!I39</f>
        <v>-182652.01208206167</v>
      </c>
      <c r="T42" s="315">
        <f t="shared" si="19"/>
        <v>-126511294.08488798</v>
      </c>
      <c r="U42" s="555">
        <f t="shared" si="20"/>
        <v>46702601</v>
      </c>
      <c r="V42" s="311">
        <f t="shared" si="16"/>
        <v>3891883</v>
      </c>
      <c r="W42" s="311">
        <f>'Table 4A Stipends'!G39</f>
        <v>62000</v>
      </c>
      <c r="X42" s="358">
        <f t="shared" si="17"/>
        <v>46764601</v>
      </c>
      <c r="Y42" s="1255"/>
      <c r="Z42" s="1258"/>
      <c r="AA42" s="1258"/>
      <c r="AC42" s="1203" t="e">
        <f>(#REF!*'Table 3 Levels 1&amp;2'!AP43)+'Table 2_State Distrib and Adjs'!F42</f>
        <v>#REF!</v>
      </c>
      <c r="AD42" s="949" t="e">
        <f t="shared" si="21"/>
        <v>#REF!</v>
      </c>
      <c r="AE42" s="284" t="e">
        <f t="shared" si="18"/>
        <v>#REF!</v>
      </c>
      <c r="AF42" s="1556"/>
      <c r="AG42" s="1557"/>
      <c r="AH42" s="1557"/>
      <c r="AI42" s="1557"/>
      <c r="AJ42" s="1557"/>
      <c r="AK42" s="1557"/>
      <c r="AL42" s="1557"/>
      <c r="AM42" s="1557"/>
      <c r="AN42" s="1557"/>
      <c r="AO42" s="1557"/>
      <c r="AP42" s="1557"/>
      <c r="AQ42" s="1557"/>
      <c r="AR42" s="1557"/>
      <c r="AS42" s="1557"/>
      <c r="AT42" s="1557"/>
      <c r="AU42" s="1557"/>
      <c r="AV42" s="1557"/>
      <c r="AW42" s="1557"/>
      <c r="AX42" s="1557"/>
      <c r="AY42" s="1557"/>
      <c r="AZ42" s="1557"/>
    </row>
    <row r="43" spans="1:52">
      <c r="A43" s="99">
        <v>37</v>
      </c>
      <c r="B43" s="302" t="s">
        <v>129</v>
      </c>
      <c r="C43" s="311">
        <f>'Table 3 Levels 1&amp;2'!AO44</f>
        <v>120819905.58837695</v>
      </c>
      <c r="D43" s="358">
        <f>'[1]Adjusted Amounts'!C43</f>
        <v>6125.6994180640613</v>
      </c>
      <c r="E43" s="358">
        <f>'[2]Adjusted Amounts'!H43</f>
        <v>-121804.72470372164</v>
      </c>
      <c r="F43" s="358">
        <f t="shared" si="14"/>
        <v>-115679.02528565758</v>
      </c>
      <c r="G43" s="311">
        <f t="shared" si="10"/>
        <v>0</v>
      </c>
      <c r="H43" s="358">
        <f t="shared" si="15"/>
        <v>-115679.02528565758</v>
      </c>
      <c r="I43" s="358"/>
      <c r="J43" s="49">
        <f>-'Table 5C1A-Madison Prep'!H43</f>
        <v>0</v>
      </c>
      <c r="K43" s="358">
        <f>-'Table 5C1B-DArbonne'!H43</f>
        <v>-18472.108692545655</v>
      </c>
      <c r="L43" s="358">
        <f>-'Table 5C1C-Intl_VIBE'!H43</f>
        <v>0</v>
      </c>
      <c r="M43" s="358">
        <f>-'Table 5C1D-NOMMA'!H43</f>
        <v>0</v>
      </c>
      <c r="N43" s="358">
        <f>-'Table 5C1E-LFNO'!H43</f>
        <v>0</v>
      </c>
      <c r="O43" s="358">
        <f>-'Table 5C1F-Lake Charles Charter'!H43</f>
        <v>0</v>
      </c>
      <c r="P43" s="358">
        <f>-'Table 5C1G-JS Clark Academy'!H43</f>
        <v>0</v>
      </c>
      <c r="Q43" s="358">
        <f>-'Table 5C1H-Southwest LA Charter'!H43</f>
        <v>0</v>
      </c>
      <c r="R43" s="315">
        <f>-('Table 5C2 - LA Virtual Admy'!H40+'Table 5C2 - LA Virtual Admy'!I40)</f>
        <v>-227822.67387472975</v>
      </c>
      <c r="S43" s="315">
        <f>-'Table 5C3 - LA Connections EBR'!H40-'Table 5C3 - LA Connections EBR'!I40</f>
        <v>-104675.28259109204</v>
      </c>
      <c r="T43" s="315">
        <f t="shared" si="19"/>
        <v>-350970.06515836745</v>
      </c>
      <c r="U43" s="555">
        <f t="shared" si="20"/>
        <v>120353256</v>
      </c>
      <c r="V43" s="311">
        <f t="shared" si="16"/>
        <v>10029438</v>
      </c>
      <c r="W43" s="311">
        <f>'Table 4A Stipends'!G40</f>
        <v>0</v>
      </c>
      <c r="X43" s="358">
        <f t="shared" si="17"/>
        <v>120353256</v>
      </c>
      <c r="Y43" s="1256"/>
      <c r="Z43" s="1258"/>
      <c r="AA43" s="1258"/>
      <c r="AB43" s="557"/>
      <c r="AC43" s="1204" t="e">
        <f>(#REF!*'Table 3 Levels 1&amp;2'!AP44)+'Table 2_State Distrib and Adjs'!F43</f>
        <v>#REF!</v>
      </c>
      <c r="AD43" s="1202" t="e">
        <f t="shared" si="21"/>
        <v>#REF!</v>
      </c>
      <c r="AE43" s="1200" t="e">
        <f t="shared" ref="AE43:AE75" si="22">AD43/AC43</f>
        <v>#REF!</v>
      </c>
      <c r="AF43" s="558"/>
      <c r="AG43" s="558"/>
    </row>
    <row r="44" spans="1:52">
      <c r="A44" s="99">
        <v>38</v>
      </c>
      <c r="B44" s="302" t="s">
        <v>130</v>
      </c>
      <c r="C44" s="311">
        <f>'Table 3 Levels 1&amp;2'!AO45</f>
        <v>11516389.949999999</v>
      </c>
      <c r="D44" s="358">
        <f>'[1]Adjusted Amounts'!C44</f>
        <v>4839.7174128218885</v>
      </c>
      <c r="E44" s="358">
        <f>'[2]Adjusted Amounts'!H44</f>
        <v>-54853.560227771537</v>
      </c>
      <c r="F44" s="358">
        <f t="shared" si="14"/>
        <v>-50013.842814949647</v>
      </c>
      <c r="G44" s="311">
        <f t="shared" si="10"/>
        <v>0</v>
      </c>
      <c r="H44" s="358">
        <f t="shared" si="15"/>
        <v>-50013.842814949647</v>
      </c>
      <c r="I44" s="358"/>
      <c r="J44" s="49">
        <f>-'Table 5C1A-Madison Prep'!H44</f>
        <v>0</v>
      </c>
      <c r="K44" s="358">
        <f>-'Table 5C1B-DArbonne'!H44</f>
        <v>0</v>
      </c>
      <c r="L44" s="358">
        <f>-'Table 5C1C-Intl_VIBE'!H44</f>
        <v>0</v>
      </c>
      <c r="M44" s="358">
        <f>-'Table 5C1D-NOMMA'!H44</f>
        <v>-24181.396220472441</v>
      </c>
      <c r="N44" s="358">
        <f>-'Table 5C1E-LFNO'!H44</f>
        <v>-9068.0235826771659</v>
      </c>
      <c r="O44" s="358">
        <f>-'Table 5C1F-Lake Charles Charter'!H44</f>
        <v>0</v>
      </c>
      <c r="P44" s="358">
        <f>-'Table 5C1G-JS Clark Academy'!H44</f>
        <v>0</v>
      </c>
      <c r="Q44" s="358">
        <f>-'Table 5C1H-Southwest LA Charter'!H44</f>
        <v>0</v>
      </c>
      <c r="R44" s="315">
        <f>-('Table 5C2 - LA Virtual Admy'!H41+'Table 5C2 - LA Virtual Admy'!I41)</f>
        <v>-6045.3490551181112</v>
      </c>
      <c r="S44" s="315">
        <f>-'Table 5C3 - LA Connections EBR'!H41-'Table 5C3 - LA Connections EBR'!I41</f>
        <v>-18136.047165354332</v>
      </c>
      <c r="T44" s="315">
        <f t="shared" si="19"/>
        <v>-57430.816023622043</v>
      </c>
      <c r="U44" s="555">
        <f t="shared" si="20"/>
        <v>11408945</v>
      </c>
      <c r="V44" s="311">
        <f t="shared" si="16"/>
        <v>950745</v>
      </c>
      <c r="W44" s="311">
        <f>'Table 4A Stipends'!G41</f>
        <v>8000</v>
      </c>
      <c r="X44" s="358">
        <f t="shared" si="17"/>
        <v>11416945</v>
      </c>
      <c r="Y44" s="1256"/>
      <c r="Z44" s="1258"/>
      <c r="AA44" s="1258"/>
      <c r="AB44" s="557">
        <v>18</v>
      </c>
      <c r="AC44" s="1204" t="e">
        <f>(#REF!*'Table 3 Levels 1&amp;2'!AP45)+'Table 2_State Distrib and Adjs'!F44</f>
        <v>#REF!</v>
      </c>
      <c r="AD44" s="1202" t="e">
        <f t="shared" si="21"/>
        <v>#REF!</v>
      </c>
      <c r="AE44" s="1200" t="e">
        <f t="shared" si="22"/>
        <v>#REF!</v>
      </c>
      <c r="AF44" s="558"/>
      <c r="AG44" s="558"/>
    </row>
    <row r="45" spans="1:52">
      <c r="A45" s="99">
        <v>39</v>
      </c>
      <c r="B45" s="302" t="s">
        <v>131</v>
      </c>
      <c r="C45" s="311">
        <f>'Table 3 Levels 1&amp;2'!AO46</f>
        <v>12547386.373376422</v>
      </c>
      <c r="D45" s="358">
        <f>'[1]Adjusted Amounts'!C45</f>
        <v>0</v>
      </c>
      <c r="E45" s="358">
        <f>'[2]Adjusted Amounts'!H45</f>
        <v>0</v>
      </c>
      <c r="F45" s="358">
        <f t="shared" si="14"/>
        <v>0</v>
      </c>
      <c r="G45" s="311">
        <f t="shared" si="10"/>
        <v>0</v>
      </c>
      <c r="H45" s="358">
        <f t="shared" si="15"/>
        <v>0</v>
      </c>
      <c r="I45" s="358">
        <f>-'Table 5B2_RSD_LA'!H23</f>
        <v>-1020939.4737288136</v>
      </c>
      <c r="J45" s="358">
        <f>-'Table 5C1A-Madison Prep'!H45</f>
        <v>0</v>
      </c>
      <c r="K45" s="358">
        <f>-'Table 5C1B-DArbonne'!H45</f>
        <v>0</v>
      </c>
      <c r="L45" s="358">
        <f>-'Table 5C1C-Intl_VIBE'!H45</f>
        <v>0</v>
      </c>
      <c r="M45" s="358">
        <f>-'Table 5C1D-NOMMA'!H45</f>
        <v>0</v>
      </c>
      <c r="N45" s="358">
        <f>-'Table 5C1E-LFNO'!H45</f>
        <v>0</v>
      </c>
      <c r="O45" s="358">
        <f>-'Table 5C1F-Lake Charles Charter'!H45</f>
        <v>0</v>
      </c>
      <c r="P45" s="358">
        <f>-'Table 5C1G-JS Clark Academy'!H45</f>
        <v>0</v>
      </c>
      <c r="Q45" s="358">
        <f>-'Table 5C1H-Southwest LA Charter'!H45</f>
        <v>0</v>
      </c>
      <c r="R45" s="315">
        <f>-('Table 5C2 - LA Virtual Admy'!H42+'Table 5C2 - LA Virtual Admy'!I42)</f>
        <v>-13258.950024702102</v>
      </c>
      <c r="S45" s="315">
        <f>-'Table 5C3 - LA Connections EBR'!H42-'Table 5C3 - LA Connections EBR'!I42</f>
        <v>-22098.250041170169</v>
      </c>
      <c r="T45" s="315">
        <f t="shared" si="19"/>
        <v>-1056296.6737946859</v>
      </c>
      <c r="U45" s="555">
        <f t="shared" si="20"/>
        <v>11491090</v>
      </c>
      <c r="V45" s="311">
        <f t="shared" si="16"/>
        <v>957591</v>
      </c>
      <c r="W45" s="311">
        <f>'Table 4A Stipends'!G42</f>
        <v>0</v>
      </c>
      <c r="X45" s="358">
        <f t="shared" si="17"/>
        <v>11491090</v>
      </c>
      <c r="Y45" s="1256"/>
      <c r="Z45" s="1258"/>
      <c r="AA45" s="1258"/>
      <c r="AB45" s="557">
        <v>19</v>
      </c>
      <c r="AC45" s="1204" t="e">
        <f>(#REF!*'Table 3 Levels 1&amp;2'!AP46)+'Table 2_State Distrib and Adjs'!F45</f>
        <v>#REF!</v>
      </c>
      <c r="AD45" s="1202" t="e">
        <f t="shared" si="21"/>
        <v>#REF!</v>
      </c>
      <c r="AE45" s="1200" t="e">
        <f t="shared" si="22"/>
        <v>#REF!</v>
      </c>
      <c r="AF45" s="558"/>
      <c r="AG45" s="558"/>
    </row>
    <row r="46" spans="1:52">
      <c r="A46" s="100">
        <v>40</v>
      </c>
      <c r="B46" s="303" t="s">
        <v>132</v>
      </c>
      <c r="C46" s="319">
        <f>'Table 3 Levels 1&amp;2'!AO47</f>
        <v>129320932.07805601</v>
      </c>
      <c r="D46" s="359">
        <f>'[1]Adjusted Amounts'!C46</f>
        <v>-49491.345815212408</v>
      </c>
      <c r="E46" s="359">
        <f>'[2]Adjusted Amounts'!H46</f>
        <v>-84977.022217588383</v>
      </c>
      <c r="F46" s="359">
        <f t="shared" si="14"/>
        <v>-134468.36803280079</v>
      </c>
      <c r="G46" s="319">
        <f t="shared" si="10"/>
        <v>0</v>
      </c>
      <c r="H46" s="359">
        <f t="shared" si="15"/>
        <v>-134468.36803280079</v>
      </c>
      <c r="I46" s="359"/>
      <c r="J46" s="359">
        <f>-'Table 5C1A-Madison Prep'!H46</f>
        <v>0</v>
      </c>
      <c r="K46" s="359">
        <f>-'Table 5C1B-DArbonne'!H46</f>
        <v>0</v>
      </c>
      <c r="L46" s="359">
        <f>-'Table 5C1C-Intl_VIBE'!H46</f>
        <v>0</v>
      </c>
      <c r="M46" s="359">
        <f>-'Table 5C1D-NOMMA'!H46</f>
        <v>0</v>
      </c>
      <c r="N46" s="359">
        <f>-'Table 5C1E-LFNO'!H46</f>
        <v>0</v>
      </c>
      <c r="O46" s="359">
        <f>-'Table 5C1F-Lake Charles Charter'!H46</f>
        <v>0</v>
      </c>
      <c r="P46" s="359">
        <f>-'Table 5C1G-JS Clark Academy'!H46</f>
        <v>0</v>
      </c>
      <c r="Q46" s="359">
        <f>-'Table 5C1H-Southwest LA Charter'!H46</f>
        <v>0</v>
      </c>
      <c r="R46" s="321">
        <f>-('Table 5C2 - LA Virtual Admy'!H43+'Table 5C2 - LA Virtual Admy'!I43)</f>
        <v>-180120.55828064386</v>
      </c>
      <c r="S46" s="321">
        <f>-'Table 5C3 - LA Connections EBR'!H43-'Table 5C3 - LA Connections EBR'!I43</f>
        <v>-151976.72104929326</v>
      </c>
      <c r="T46" s="321">
        <f t="shared" si="19"/>
        <v>-332097.27932993713</v>
      </c>
      <c r="U46" s="556">
        <f t="shared" si="20"/>
        <v>128854366</v>
      </c>
      <c r="V46" s="319">
        <f t="shared" si="16"/>
        <v>10737864</v>
      </c>
      <c r="W46" s="319">
        <f>'Table 4A Stipends'!G43</f>
        <v>0</v>
      </c>
      <c r="X46" s="359">
        <f t="shared" si="17"/>
        <v>128854366</v>
      </c>
      <c r="Y46" s="1255"/>
      <c r="Z46" s="1258"/>
      <c r="AA46" s="1258"/>
      <c r="AC46" s="1203" t="e">
        <f>(#REF!*'Table 3 Levels 1&amp;2'!AP47)+'Table 2_State Distrib and Adjs'!F46</f>
        <v>#REF!</v>
      </c>
      <c r="AD46" s="744" t="e">
        <f t="shared" si="21"/>
        <v>#REF!</v>
      </c>
      <c r="AE46" s="284" t="e">
        <f t="shared" si="22"/>
        <v>#REF!</v>
      </c>
    </row>
    <row r="47" spans="1:52">
      <c r="A47" s="99">
        <v>41</v>
      </c>
      <c r="B47" s="302" t="s">
        <v>133</v>
      </c>
      <c r="C47" s="311">
        <f>'Table 3 Levels 1&amp;2'!AO48</f>
        <v>3530069.92</v>
      </c>
      <c r="D47" s="358">
        <f>'[1]Adjusted Amounts'!C47</f>
        <v>0</v>
      </c>
      <c r="E47" s="358">
        <f>'[2]Adjusted Amounts'!H47</f>
        <v>0</v>
      </c>
      <c r="F47" s="358">
        <f t="shared" si="14"/>
        <v>0</v>
      </c>
      <c r="G47" s="311">
        <f t="shared" si="10"/>
        <v>0</v>
      </c>
      <c r="H47" s="358">
        <f t="shared" si="15"/>
        <v>0</v>
      </c>
      <c r="I47" s="358"/>
      <c r="J47" s="358">
        <f>-'Table 5C1A-Madison Prep'!H47</f>
        <v>0</v>
      </c>
      <c r="K47" s="358">
        <f>-'Table 5C1B-DArbonne'!H47</f>
        <v>0</v>
      </c>
      <c r="L47" s="358">
        <f>-'Table 5C1C-Intl_VIBE'!H47</f>
        <v>0</v>
      </c>
      <c r="M47" s="358">
        <f>-'Table 5C1D-NOMMA'!H47</f>
        <v>0</v>
      </c>
      <c r="N47" s="358">
        <f>-'Table 5C1E-LFNO'!H47</f>
        <v>0</v>
      </c>
      <c r="O47" s="358">
        <f>-'Table 5C1F-Lake Charles Charter'!H47</f>
        <v>0</v>
      </c>
      <c r="P47" s="358">
        <f>-'Table 5C1G-JS Clark Academy'!H47</f>
        <v>0</v>
      </c>
      <c r="Q47" s="358">
        <f>-'Table 5C1H-Southwest LA Charter'!H47</f>
        <v>0</v>
      </c>
      <c r="R47" s="315">
        <f>-('Table 5C2 - LA Virtual Admy'!H44+'Table 5C2 - LA Virtual Admy'!I44)</f>
        <v>-2501.8213465627214</v>
      </c>
      <c r="S47" s="315">
        <f>-'Table 5C3 - LA Connections EBR'!H44-'Table 5C3 - LA Connections EBR'!I44</f>
        <v>-2501.8213465627214</v>
      </c>
      <c r="T47" s="315">
        <f t="shared" si="19"/>
        <v>-5003.6426931254427</v>
      </c>
      <c r="U47" s="555">
        <f t="shared" si="20"/>
        <v>3525066</v>
      </c>
      <c r="V47" s="311">
        <f t="shared" si="16"/>
        <v>293756</v>
      </c>
      <c r="W47" s="311">
        <f>'Table 4A Stipends'!G44</f>
        <v>0</v>
      </c>
      <c r="X47" s="358">
        <f t="shared" si="17"/>
        <v>3525066</v>
      </c>
      <c r="Y47" s="1255"/>
      <c r="Z47" s="1258"/>
      <c r="AA47" s="1258"/>
      <c r="AB47">
        <v>20</v>
      </c>
      <c r="AC47" s="1203" t="e">
        <f>(#REF!*'Table 3 Levels 1&amp;2'!AP48)+'Table 2_State Distrib and Adjs'!F47</f>
        <v>#REF!</v>
      </c>
      <c r="AD47" s="744" t="e">
        <f t="shared" si="21"/>
        <v>#REF!</v>
      </c>
      <c r="AE47" s="284" t="e">
        <f t="shared" si="22"/>
        <v>#REF!</v>
      </c>
    </row>
    <row r="48" spans="1:52">
      <c r="A48" s="99">
        <v>42</v>
      </c>
      <c r="B48" s="302" t="s">
        <v>134</v>
      </c>
      <c r="C48" s="311">
        <f>'Table 3 Levels 1&amp;2'!AO49</f>
        <v>19350073.984672002</v>
      </c>
      <c r="D48" s="358">
        <f>'[1]Adjusted Amounts'!C48</f>
        <v>-6035.3656550306769</v>
      </c>
      <c r="E48" s="358">
        <f>'[2]Adjusted Amounts'!H48</f>
        <v>-13872.030784933289</v>
      </c>
      <c r="F48" s="358">
        <f t="shared" si="14"/>
        <v>-19907.396439963966</v>
      </c>
      <c r="G48" s="311">
        <f t="shared" si="10"/>
        <v>0</v>
      </c>
      <c r="H48" s="358">
        <f t="shared" si="15"/>
        <v>-19907.396439963966</v>
      </c>
      <c r="I48" s="358"/>
      <c r="J48" s="358">
        <f>-'Table 5C1A-Madison Prep'!H48</f>
        <v>0</v>
      </c>
      <c r="K48" s="358">
        <f>-'Table 5C1B-DArbonne'!H48</f>
        <v>0</v>
      </c>
      <c r="L48" s="358">
        <f>-'Table 5C1C-Intl_VIBE'!H48</f>
        <v>0</v>
      </c>
      <c r="M48" s="358">
        <f>-'Table 5C1D-NOMMA'!H48</f>
        <v>0</v>
      </c>
      <c r="N48" s="358">
        <f>-'Table 5C1E-LFNO'!H48</f>
        <v>0</v>
      </c>
      <c r="O48" s="358">
        <f>-'Table 5C1F-Lake Charles Charter'!H48</f>
        <v>0</v>
      </c>
      <c r="P48" s="358">
        <f>-'Table 5C1G-JS Clark Academy'!H48</f>
        <v>0</v>
      </c>
      <c r="Q48" s="358">
        <f>-'Table 5C1H-Southwest LA Charter'!H48</f>
        <v>0</v>
      </c>
      <c r="R48" s="315">
        <f>-('Table 5C2 - LA Virtual Admy'!H45+'Table 5C2 - LA Virtual Admy'!I45)</f>
        <v>-39352.271322691464</v>
      </c>
      <c r="S48" s="315">
        <f>-'Table 5C3 - LA Connections EBR'!H45-'Table 5C3 - LA Connections EBR'!I45</f>
        <v>-28108.7652304939</v>
      </c>
      <c r="T48" s="315">
        <f t="shared" si="19"/>
        <v>-67461.03655318536</v>
      </c>
      <c r="U48" s="555">
        <f t="shared" si="20"/>
        <v>19262706</v>
      </c>
      <c r="V48" s="311">
        <f t="shared" si="16"/>
        <v>1605226</v>
      </c>
      <c r="W48" s="311">
        <f>'Table 4A Stipends'!G45</f>
        <v>0</v>
      </c>
      <c r="X48" s="358">
        <f t="shared" si="17"/>
        <v>19262706</v>
      </c>
      <c r="Y48" s="1255"/>
      <c r="Z48" s="1258"/>
      <c r="AA48" s="1258"/>
      <c r="AB48" s="1261">
        <v>21</v>
      </c>
      <c r="AC48" s="1203" t="e">
        <f>(#REF!*'Table 3 Levels 1&amp;2'!AP49)+'Table 2_State Distrib and Adjs'!F48</f>
        <v>#REF!</v>
      </c>
      <c r="AD48" s="744" t="e">
        <f t="shared" si="21"/>
        <v>#REF!</v>
      </c>
      <c r="AE48" s="284" t="e">
        <f t="shared" si="22"/>
        <v>#REF!</v>
      </c>
    </row>
    <row r="49" spans="1:31">
      <c r="A49" s="99">
        <v>43</v>
      </c>
      <c r="B49" s="302" t="s">
        <v>135</v>
      </c>
      <c r="C49" s="311">
        <f>'Table 3 Levels 1&amp;2'!AO50</f>
        <v>21291532.124101281</v>
      </c>
      <c r="D49" s="358">
        <f>'[1]Adjusted Amounts'!C49</f>
        <v>0</v>
      </c>
      <c r="E49" s="358">
        <f>'[2]Adjusted Amounts'!H49</f>
        <v>0</v>
      </c>
      <c r="F49" s="358">
        <f t="shared" si="14"/>
        <v>0</v>
      </c>
      <c r="G49" s="311">
        <f t="shared" si="10"/>
        <v>0</v>
      </c>
      <c r="H49" s="358">
        <f t="shared" si="15"/>
        <v>0</v>
      </c>
      <c r="I49" s="358"/>
      <c r="J49" s="358">
        <f>-'Table 5C1A-Madison Prep'!H49</f>
        <v>0</v>
      </c>
      <c r="K49" s="358">
        <f>-'Table 5C1B-DArbonne'!H49</f>
        <v>0</v>
      </c>
      <c r="L49" s="358">
        <f>-'Table 5C1C-Intl_VIBE'!H49</f>
        <v>0</v>
      </c>
      <c r="M49" s="358">
        <f>-'Table 5C1D-NOMMA'!H49</f>
        <v>0</v>
      </c>
      <c r="N49" s="358">
        <f>-'Table 5C1E-LFNO'!H49</f>
        <v>0</v>
      </c>
      <c r="O49" s="358">
        <f>-'Table 5C1F-Lake Charles Charter'!H49</f>
        <v>0</v>
      </c>
      <c r="P49" s="358">
        <f>-'Table 5C1G-JS Clark Academy'!H49</f>
        <v>0</v>
      </c>
      <c r="Q49" s="358">
        <f>-'Table 5C1H-Southwest LA Charter'!H49</f>
        <v>0</v>
      </c>
      <c r="R49" s="315">
        <f>-('Table 5C2 - LA Virtual Admy'!H46+'Table 5C2 - LA Virtual Admy'!I46)</f>
        <v>-31754.708611635022</v>
      </c>
      <c r="S49" s="315">
        <f>-'Table 5C3 - LA Connections EBR'!H46-'Table 5C3 - LA Connections EBR'!I46</f>
        <v>-31754.708611635022</v>
      </c>
      <c r="T49" s="315">
        <f t="shared" si="19"/>
        <v>-63509.417223270044</v>
      </c>
      <c r="U49" s="552">
        <f t="shared" si="20"/>
        <v>21228023</v>
      </c>
      <c r="V49" s="311">
        <f t="shared" si="16"/>
        <v>1769002</v>
      </c>
      <c r="W49" s="311">
        <f>'Table 4A Stipends'!G46</f>
        <v>0</v>
      </c>
      <c r="X49" s="311">
        <f t="shared" si="17"/>
        <v>21228023</v>
      </c>
      <c r="Y49" s="1254"/>
      <c r="Z49" s="1257"/>
      <c r="AA49" s="1260"/>
      <c r="AB49" s="1261">
        <v>22</v>
      </c>
      <c r="AC49" s="1203" t="e">
        <f>(#REF!*'Table 3 Levels 1&amp;2'!AP50)+'Table 2_State Distrib and Adjs'!F49</f>
        <v>#REF!</v>
      </c>
      <c r="AD49" s="744" t="e">
        <f t="shared" si="21"/>
        <v>#REF!</v>
      </c>
      <c r="AE49" s="284" t="e">
        <f t="shared" si="22"/>
        <v>#REF!</v>
      </c>
    </row>
    <row r="50" spans="1:31">
      <c r="A50" s="99">
        <v>44</v>
      </c>
      <c r="B50" s="302" t="s">
        <v>136</v>
      </c>
      <c r="C50" s="311">
        <f>'Table 3 Levels 1&amp;2'!AO51</f>
        <v>34195409.94362928</v>
      </c>
      <c r="D50" s="358">
        <f>'[1]Adjusted Amounts'!C50</f>
        <v>0</v>
      </c>
      <c r="E50" s="358">
        <f>'[2]Adjusted Amounts'!H50</f>
        <v>-4786.1910925032571</v>
      </c>
      <c r="F50" s="358">
        <f t="shared" si="14"/>
        <v>-4786.1910925032571</v>
      </c>
      <c r="G50" s="311">
        <f t="shared" si="10"/>
        <v>0</v>
      </c>
      <c r="H50" s="358">
        <f t="shared" si="15"/>
        <v>-4786.1910925032571</v>
      </c>
      <c r="I50" s="358"/>
      <c r="J50" s="49">
        <f>-'Table 5C1A-Madison Prep'!H50</f>
        <v>0</v>
      </c>
      <c r="K50" s="358">
        <f>-'Table 5C1B-DArbonne'!H50</f>
        <v>0</v>
      </c>
      <c r="L50" s="358">
        <f>-'Table 5C1C-Intl_VIBE'!H50</f>
        <v>-21439.128491303625</v>
      </c>
      <c r="M50" s="358">
        <f>-'Table 5C1D-NOMMA'!H50</f>
        <v>-10719.564245651813</v>
      </c>
      <c r="N50" s="358">
        <f>-'Table 5C1E-LFNO'!H50</f>
        <v>-10719.564245651813</v>
      </c>
      <c r="O50" s="358">
        <f>-'Table 5C1F-Lake Charles Charter'!H50</f>
        <v>0</v>
      </c>
      <c r="P50" s="358">
        <f>-'Table 5C1G-JS Clark Academy'!H50</f>
        <v>0</v>
      </c>
      <c r="Q50" s="358">
        <f>-'Table 5C1H-Southwest LA Charter'!H50</f>
        <v>0</v>
      </c>
      <c r="R50" s="315">
        <f>-('Table 5C2 - LA Virtual Admy'!H47+'Table 5C2 - LA Virtual Admy'!I47)</f>
        <v>-16079.34636847772</v>
      </c>
      <c r="S50" s="315">
        <f>-'Table 5C3 - LA Connections EBR'!H47-'Table 5C3 - LA Connections EBR'!I47</f>
        <v>-48238.039105433156</v>
      </c>
      <c r="T50" s="315">
        <f t="shared" si="19"/>
        <v>-107195.64245651812</v>
      </c>
      <c r="U50" s="552">
        <f t="shared" si="20"/>
        <v>34083428</v>
      </c>
      <c r="V50" s="311">
        <f t="shared" si="16"/>
        <v>2840286</v>
      </c>
      <c r="W50" s="311">
        <f>'Table 4A Stipends'!G47</f>
        <v>0</v>
      </c>
      <c r="X50" s="311">
        <f t="shared" si="17"/>
        <v>34083428</v>
      </c>
      <c r="Y50" s="1254"/>
      <c r="Z50" s="1257"/>
      <c r="AA50" s="1257"/>
      <c r="AC50" s="1203" t="e">
        <f>(#REF!*'Table 3 Levels 1&amp;2'!AP51)+'Table 2_State Distrib and Adjs'!F50</f>
        <v>#REF!</v>
      </c>
      <c r="AD50" s="744" t="e">
        <f t="shared" si="21"/>
        <v>#REF!</v>
      </c>
      <c r="AE50" s="284" t="e">
        <f t="shared" si="22"/>
        <v>#REF!</v>
      </c>
    </row>
    <row r="51" spans="1:31">
      <c r="A51" s="100">
        <v>45</v>
      </c>
      <c r="B51" s="303" t="s">
        <v>137</v>
      </c>
      <c r="C51" s="319">
        <f>'Table 3 Levels 1&amp;2'!AO52</f>
        <v>27926466.880000003</v>
      </c>
      <c r="D51" s="359">
        <f>'[1]Adjusted Amounts'!C51</f>
        <v>0</v>
      </c>
      <c r="E51" s="359">
        <f>'[2]Adjusted Amounts'!H51</f>
        <v>0</v>
      </c>
      <c r="F51" s="359">
        <f t="shared" si="14"/>
        <v>0</v>
      </c>
      <c r="G51" s="319">
        <f t="shared" si="10"/>
        <v>0</v>
      </c>
      <c r="H51" s="359">
        <f t="shared" si="15"/>
        <v>0</v>
      </c>
      <c r="I51" s="359"/>
      <c r="J51" s="58">
        <f>-'Table 5C1A-Madison Prep'!H51</f>
        <v>0</v>
      </c>
      <c r="K51" s="359">
        <f>-'Table 5C1B-DArbonne'!H51</f>
        <v>0</v>
      </c>
      <c r="L51" s="359">
        <f>-'Table 5C1C-Intl_VIBE'!H51</f>
        <v>-5892.9029077864525</v>
      </c>
      <c r="M51" s="359">
        <f>-'Table 5C1D-NOMMA'!H51</f>
        <v>0</v>
      </c>
      <c r="N51" s="359">
        <f>-'Table 5C1E-LFNO'!H51</f>
        <v>-2946.4514538932262</v>
      </c>
      <c r="O51" s="359">
        <f>-'Table 5C1F-Lake Charles Charter'!H51</f>
        <v>0</v>
      </c>
      <c r="P51" s="359">
        <f>-'Table 5C1G-JS Clark Academy'!H51</f>
        <v>0</v>
      </c>
      <c r="Q51" s="359">
        <f>-'Table 5C1H-Southwest LA Charter'!H51</f>
        <v>0</v>
      </c>
      <c r="R51" s="321">
        <f>-('Table 5C2 - LA Virtual Admy'!H48+'Table 5C2 - LA Virtual Admy'!I48)</f>
        <v>-5892.9029077864525</v>
      </c>
      <c r="S51" s="321">
        <f>-'Table 5C3 - LA Connections EBR'!H48-'Table 5C3 - LA Connections EBR'!I48</f>
        <v>-55982.577623971301</v>
      </c>
      <c r="T51" s="321">
        <f t="shared" si="19"/>
        <v>-70714.834893437437</v>
      </c>
      <c r="U51" s="553">
        <f t="shared" si="20"/>
        <v>27855752</v>
      </c>
      <c r="V51" s="319">
        <f t="shared" si="16"/>
        <v>2321313</v>
      </c>
      <c r="W51" s="319">
        <f>'Table 4A Stipends'!G48</f>
        <v>0</v>
      </c>
      <c r="X51" s="319">
        <f t="shared" si="17"/>
        <v>27855752</v>
      </c>
      <c r="Y51" s="1254"/>
      <c r="Z51" s="1257"/>
      <c r="AA51" s="1260"/>
      <c r="AB51">
        <v>23</v>
      </c>
      <c r="AC51" s="1203" t="e">
        <f>(#REF!*'Table 3 Levels 1&amp;2'!AP52)+'Table 2_State Distrib and Adjs'!F51</f>
        <v>#REF!</v>
      </c>
      <c r="AD51" s="744" t="e">
        <f t="shared" si="21"/>
        <v>#REF!</v>
      </c>
      <c r="AE51" s="284" t="e">
        <f t="shared" si="22"/>
        <v>#REF!</v>
      </c>
    </row>
    <row r="52" spans="1:31">
      <c r="A52" s="99">
        <v>46</v>
      </c>
      <c r="B52" s="302" t="s">
        <v>138</v>
      </c>
      <c r="C52" s="311">
        <f>'Table 3 Levels 1&amp;2'!AO53</f>
        <v>6857046.6247999994</v>
      </c>
      <c r="D52" s="358">
        <f>'[1]Adjusted Amounts'!C52</f>
        <v>-6530.1710099800548</v>
      </c>
      <c r="E52" s="358">
        <f>'[2]Adjusted Amounts'!H52</f>
        <v>-74734.707051841833</v>
      </c>
      <c r="F52" s="358">
        <f t="shared" si="14"/>
        <v>-81264.878061821888</v>
      </c>
      <c r="G52" s="311">
        <f t="shared" si="10"/>
        <v>0</v>
      </c>
      <c r="H52" s="358">
        <f t="shared" si="15"/>
        <v>-81264.878061821888</v>
      </c>
      <c r="I52" s="358">
        <f>-'Table 5B2_RSD_LA'!H35</f>
        <v>-2013779.96</v>
      </c>
      <c r="J52" s="358">
        <f>-'Table 5C1A-Madison Prep'!H52</f>
        <v>0</v>
      </c>
      <c r="K52" s="358">
        <f>-'Table 5C1B-DArbonne'!H52</f>
        <v>0</v>
      </c>
      <c r="L52" s="358">
        <f>-'Table 5C1C-Intl_VIBE'!H52</f>
        <v>0</v>
      </c>
      <c r="M52" s="358">
        <f>-'Table 5C1D-NOMMA'!H52</f>
        <v>0</v>
      </c>
      <c r="N52" s="358">
        <f>-'Table 5C1E-LFNO'!H52</f>
        <v>0</v>
      </c>
      <c r="O52" s="358">
        <f>-'Table 5C1F-Lake Charles Charter'!H52</f>
        <v>0</v>
      </c>
      <c r="P52" s="358">
        <f>-'Table 5C1G-JS Clark Academy'!H52</f>
        <v>0</v>
      </c>
      <c r="Q52" s="358">
        <f>-'Table 5C1H-Southwest LA Charter'!H52</f>
        <v>0</v>
      </c>
      <c r="R52" s="315">
        <f>-('Table 5C2 - LA Virtual Admy'!H49+'Table 5C2 - LA Virtual Admy'!I49)</f>
        <v>-57354.47920371747</v>
      </c>
      <c r="S52" s="315">
        <f>-'Table 5C3 - LA Connections EBR'!H49-'Table 5C3 - LA Connections EBR'!I49</f>
        <v>-31863.599557620819</v>
      </c>
      <c r="T52" s="315">
        <f t="shared" si="19"/>
        <v>-2102998.0387613382</v>
      </c>
      <c r="U52" s="552">
        <f t="shared" si="20"/>
        <v>4672784</v>
      </c>
      <c r="V52" s="311">
        <f t="shared" si="16"/>
        <v>389399</v>
      </c>
      <c r="W52" s="311">
        <f>'Table 4A Stipends'!G49</f>
        <v>0</v>
      </c>
      <c r="X52" s="311">
        <f t="shared" si="17"/>
        <v>4672784</v>
      </c>
      <c r="Y52" s="1254"/>
      <c r="Z52" s="1257"/>
      <c r="AA52" s="1260"/>
      <c r="AB52">
        <v>24</v>
      </c>
      <c r="AC52" s="1203" t="e">
        <f>(#REF!*'Table 3 Levels 1&amp;2'!AP53)+'Table 2_State Distrib and Adjs'!F52</f>
        <v>#REF!</v>
      </c>
      <c r="AD52" s="744" t="e">
        <f t="shared" si="21"/>
        <v>#REF!</v>
      </c>
      <c r="AE52" s="284" t="e">
        <f t="shared" si="22"/>
        <v>#REF!</v>
      </c>
    </row>
    <row r="53" spans="1:31">
      <c r="A53" s="99">
        <v>47</v>
      </c>
      <c r="B53" s="302" t="s">
        <v>139</v>
      </c>
      <c r="C53" s="311">
        <f>'Table 3 Levels 1&amp;2'!AO54</f>
        <v>13187697.960000001</v>
      </c>
      <c r="D53" s="358">
        <f>'[1]Adjusted Amounts'!C53</f>
        <v>0</v>
      </c>
      <c r="E53" s="358">
        <f>'[2]Adjusted Amounts'!H53</f>
        <v>-1082.6890644338462</v>
      </c>
      <c r="F53" s="358">
        <f t="shared" si="14"/>
        <v>-1082.6890644338462</v>
      </c>
      <c r="G53" s="311">
        <f t="shared" si="10"/>
        <v>0</v>
      </c>
      <c r="H53" s="358">
        <f t="shared" si="15"/>
        <v>-1082.6890644338462</v>
      </c>
      <c r="I53" s="358"/>
      <c r="J53" s="358">
        <f>-'Table 5C1A-Madison Prep'!H53</f>
        <v>0</v>
      </c>
      <c r="K53" s="358">
        <f>-'Table 5C1B-DArbonne'!H53</f>
        <v>0</v>
      </c>
      <c r="L53" s="358">
        <f>-'Table 5C1C-Intl_VIBE'!H53</f>
        <v>0</v>
      </c>
      <c r="M53" s="358">
        <f>-'Table 5C1D-NOMMA'!H53</f>
        <v>0</v>
      </c>
      <c r="N53" s="358">
        <f>-'Table 5C1E-LFNO'!H53</f>
        <v>0</v>
      </c>
      <c r="O53" s="358">
        <f>-'Table 5C1F-Lake Charles Charter'!H53</f>
        <v>0</v>
      </c>
      <c r="P53" s="358">
        <f>-'Table 5C1G-JS Clark Academy'!H53</f>
        <v>0</v>
      </c>
      <c r="Q53" s="358">
        <f>-'Table 5C1H-Southwest LA Charter'!H53</f>
        <v>0</v>
      </c>
      <c r="R53" s="315">
        <f>-('Table 5C2 - LA Virtual Admy'!H50+'Table 5C2 - LA Virtual Admy'!I50)</f>
        <v>-7284.0088152444068</v>
      </c>
      <c r="S53" s="315">
        <f>-'Table 5C3 - LA Connections EBR'!H50-'Table 5C3 - LA Connections EBR'!I50</f>
        <v>-3642.0044076222034</v>
      </c>
      <c r="T53" s="315">
        <f t="shared" si="19"/>
        <v>-10926.01322286661</v>
      </c>
      <c r="U53" s="552">
        <f t="shared" si="20"/>
        <v>13175689</v>
      </c>
      <c r="V53" s="311">
        <f t="shared" si="16"/>
        <v>1097974</v>
      </c>
      <c r="W53" s="311">
        <f>'Table 4A Stipends'!G50</f>
        <v>0</v>
      </c>
      <c r="X53" s="311">
        <f t="shared" si="17"/>
        <v>13175689</v>
      </c>
      <c r="Y53" s="1254"/>
      <c r="Z53" s="1257"/>
      <c r="AA53" s="1260"/>
      <c r="AB53">
        <v>25</v>
      </c>
      <c r="AC53" s="1203" t="e">
        <f>(#REF!*'Table 3 Levels 1&amp;2'!AP54)+'Table 2_State Distrib and Adjs'!F53</f>
        <v>#REF!</v>
      </c>
      <c r="AD53" s="744" t="e">
        <f t="shared" si="21"/>
        <v>#REF!</v>
      </c>
      <c r="AE53" s="284" t="e">
        <f t="shared" si="22"/>
        <v>#REF!</v>
      </c>
    </row>
    <row r="54" spans="1:31">
      <c r="A54" s="99">
        <v>48</v>
      </c>
      <c r="B54" s="302" t="s">
        <v>197</v>
      </c>
      <c r="C54" s="311">
        <f>'Table 3 Levels 1&amp;2'!AO55</f>
        <v>29854576.447179202</v>
      </c>
      <c r="D54" s="358">
        <f>'[1]Adjusted Amounts'!C54</f>
        <v>0</v>
      </c>
      <c r="E54" s="358">
        <f>'[2]Adjusted Amounts'!H54</f>
        <v>-8522.8441841659442</v>
      </c>
      <c r="F54" s="358">
        <f t="shared" si="14"/>
        <v>-8522.8441841659442</v>
      </c>
      <c r="G54" s="311">
        <f t="shared" si="10"/>
        <v>0</v>
      </c>
      <c r="H54" s="358">
        <f t="shared" si="15"/>
        <v>-8522.8441841659442</v>
      </c>
      <c r="I54" s="358"/>
      <c r="J54" s="49">
        <f>-'Table 5C1A-Madison Prep'!H54</f>
        <v>0</v>
      </c>
      <c r="K54" s="358">
        <f>-'Table 5C1B-DArbonne'!H54</f>
        <v>0</v>
      </c>
      <c r="L54" s="358">
        <f>-'Table 5C1C-Intl_VIBE'!H54</f>
        <v>-10287.586646167883</v>
      </c>
      <c r="M54" s="358">
        <f>-'Table 5C1D-NOMMA'!H54</f>
        <v>0</v>
      </c>
      <c r="N54" s="358">
        <f>-'Table 5C1E-LFNO'!H54</f>
        <v>0</v>
      </c>
      <c r="O54" s="358">
        <f>-'Table 5C1F-Lake Charles Charter'!H54</f>
        <v>0</v>
      </c>
      <c r="P54" s="358">
        <f>-'Table 5C1G-JS Clark Academy'!H54</f>
        <v>0</v>
      </c>
      <c r="Q54" s="358">
        <f>-'Table 5C1H-Southwest LA Charter'!H54</f>
        <v>0</v>
      </c>
      <c r="R54" s="315">
        <f>-('Table 5C2 - LA Virtual Admy'!H51+'Table 5C2 - LA Virtual Admy'!I51)</f>
        <v>-149170.00636943433</v>
      </c>
      <c r="S54" s="315">
        <f>-'Table 5C3 - LA Connections EBR'!H51-'Table 5C3 - LA Connections EBR'!I51</f>
        <v>-92588.279815510949</v>
      </c>
      <c r="T54" s="315">
        <f t="shared" si="19"/>
        <v>-252045.87283111317</v>
      </c>
      <c r="U54" s="552">
        <f t="shared" si="20"/>
        <v>29594008</v>
      </c>
      <c r="V54" s="311">
        <f t="shared" si="16"/>
        <v>2466167</v>
      </c>
      <c r="W54" s="311">
        <f>'Table 4A Stipends'!G51</f>
        <v>0</v>
      </c>
      <c r="X54" s="311">
        <f t="shared" si="17"/>
        <v>29594008</v>
      </c>
      <c r="Y54" s="1254"/>
      <c r="Z54" s="1257"/>
      <c r="AA54" s="1260"/>
      <c r="AB54">
        <v>26</v>
      </c>
      <c r="AC54" s="1203" t="e">
        <f>(#REF!*'Table 3 Levels 1&amp;2'!AP55)+'Table 2_State Distrib and Adjs'!F54</f>
        <v>#REF!</v>
      </c>
      <c r="AD54" s="744" t="e">
        <f t="shared" si="21"/>
        <v>#REF!</v>
      </c>
      <c r="AE54" s="284" t="e">
        <f t="shared" si="22"/>
        <v>#REF!</v>
      </c>
    </row>
    <row r="55" spans="1:31">
      <c r="A55" s="99">
        <v>49</v>
      </c>
      <c r="B55" s="302" t="s">
        <v>140</v>
      </c>
      <c r="C55" s="311">
        <f>'Table 3 Levels 1&amp;2'!AO56</f>
        <v>78429197.331440002</v>
      </c>
      <c r="D55" s="358">
        <f>'[1]Adjusted Amounts'!C55</f>
        <v>-2722.1213310343373</v>
      </c>
      <c r="E55" s="358">
        <f>'[2]Adjusted Amounts'!H55</f>
        <v>77514.951193095912</v>
      </c>
      <c r="F55" s="358">
        <f t="shared" si="14"/>
        <v>74792.829862061568</v>
      </c>
      <c r="G55" s="311">
        <f t="shared" si="10"/>
        <v>74792.829862061568</v>
      </c>
      <c r="H55" s="358">
        <f t="shared" si="15"/>
        <v>0</v>
      </c>
      <c r="I55" s="358"/>
      <c r="J55" s="358">
        <f>-'Table 5C1A-Madison Prep'!H55</f>
        <v>0</v>
      </c>
      <c r="K55" s="358">
        <f>-'Table 5C1B-DArbonne'!H55</f>
        <v>0</v>
      </c>
      <c r="L55" s="358">
        <f>-'Table 5C1C-Intl_VIBE'!H55</f>
        <v>0</v>
      </c>
      <c r="M55" s="358">
        <f>-'Table 5C1D-NOMMA'!H55</f>
        <v>0</v>
      </c>
      <c r="N55" s="358">
        <f>-'Table 5C1E-LFNO'!H55</f>
        <v>0</v>
      </c>
      <c r="O55" s="358">
        <f>-'Table 5C1F-Lake Charles Charter'!H55</f>
        <v>0</v>
      </c>
      <c r="P55" s="358">
        <f>-'Table 5C1G-JS Clark Academy'!H55</f>
        <v>-903661.92592455365</v>
      </c>
      <c r="Q55" s="358">
        <f>-'Table 5C1H-Southwest LA Charter'!H55</f>
        <v>0</v>
      </c>
      <c r="R55" s="315">
        <f>-('Table 5C2 - LA Virtual Admy'!H52+'Table 5C2 - LA Virtual Admy'!I52)</f>
        <v>-254324.015080563</v>
      </c>
      <c r="S55" s="315">
        <f>-'Table 5C3 - LA Connections EBR'!H52-'Table 5C3 - LA Connections EBR'!I52</f>
        <v>-173156.77622506418</v>
      </c>
      <c r="T55" s="315">
        <f t="shared" si="19"/>
        <v>-1331142.7172301807</v>
      </c>
      <c r="U55" s="552">
        <f t="shared" si="20"/>
        <v>77172847</v>
      </c>
      <c r="V55" s="311">
        <f t="shared" si="16"/>
        <v>6431071</v>
      </c>
      <c r="W55" s="311">
        <f>'Table 4A Stipends'!G52</f>
        <v>0</v>
      </c>
      <c r="X55" s="311">
        <f t="shared" si="17"/>
        <v>77172847</v>
      </c>
      <c r="Y55" s="1254"/>
      <c r="Z55" s="1257"/>
      <c r="AA55" s="1260"/>
      <c r="AB55">
        <v>27</v>
      </c>
      <c r="AC55" s="1203" t="e">
        <f>(#REF!*'Table 3 Levels 1&amp;2'!AP56)+'Table 2_State Distrib and Adjs'!F55</f>
        <v>#REF!</v>
      </c>
      <c r="AD55" s="744" t="e">
        <f t="shared" si="21"/>
        <v>#REF!</v>
      </c>
      <c r="AE55" s="284" t="e">
        <f t="shared" si="22"/>
        <v>#REF!</v>
      </c>
    </row>
    <row r="56" spans="1:31">
      <c r="A56" s="100">
        <v>50</v>
      </c>
      <c r="B56" s="303" t="s">
        <v>141</v>
      </c>
      <c r="C56" s="319">
        <f>'Table 3 Levels 1&amp;2'!AO57</f>
        <v>44696782.785300002</v>
      </c>
      <c r="D56" s="359">
        <f>'[1]Adjusted Amounts'!C56</f>
        <v>8551.242432594765</v>
      </c>
      <c r="E56" s="359">
        <f>'[2]Adjusted Amounts'!H56</f>
        <v>3997.1285109119672</v>
      </c>
      <c r="F56" s="359">
        <f t="shared" si="14"/>
        <v>12548.370943506732</v>
      </c>
      <c r="G56" s="319">
        <f t="shared" si="10"/>
        <v>12548.370943506732</v>
      </c>
      <c r="H56" s="359">
        <f t="shared" si="15"/>
        <v>0</v>
      </c>
      <c r="I56" s="359"/>
      <c r="J56" s="359">
        <f>-'Table 5C1A-Madison Prep'!H56</f>
        <v>0</v>
      </c>
      <c r="K56" s="359">
        <f>-'Table 5C1B-DArbonne'!H56</f>
        <v>0</v>
      </c>
      <c r="L56" s="359">
        <f>-'Table 5C1C-Intl_VIBE'!H56</f>
        <v>0</v>
      </c>
      <c r="M56" s="359">
        <f>-'Table 5C1D-NOMMA'!H56</f>
        <v>0</v>
      </c>
      <c r="N56" s="359">
        <f>-'Table 5C1E-LFNO'!H56</f>
        <v>0</v>
      </c>
      <c r="O56" s="359">
        <f>-'Table 5C1F-Lake Charles Charter'!H56</f>
        <v>0</v>
      </c>
      <c r="P56" s="359">
        <f>-'Table 5C1G-JS Clark Academy'!H56</f>
        <v>0</v>
      </c>
      <c r="Q56" s="359">
        <f>-'Table 5C1H-Southwest LA Charter'!H56</f>
        <v>0</v>
      </c>
      <c r="R56" s="321">
        <f>-('Table 5C2 - LA Virtual Admy'!H53+'Table 5C2 - LA Virtual Admy'!I53)</f>
        <v>-56671.46289501711</v>
      </c>
      <c r="S56" s="321">
        <f>-'Table 5C3 - LA Connections EBR'!H53-'Table 5C3 - LA Connections EBR'!I53</f>
        <v>-62338.609184518828</v>
      </c>
      <c r="T56" s="321">
        <f t="shared" si="19"/>
        <v>-119010.07207953594</v>
      </c>
      <c r="U56" s="553">
        <f t="shared" si="20"/>
        <v>44590321</v>
      </c>
      <c r="V56" s="319">
        <f t="shared" si="16"/>
        <v>3715860</v>
      </c>
      <c r="W56" s="319">
        <f>'Table 4A Stipends'!G53</f>
        <v>28000</v>
      </c>
      <c r="X56" s="319">
        <f t="shared" si="17"/>
        <v>44618321</v>
      </c>
      <c r="Y56" s="1254"/>
      <c r="Z56" s="1257"/>
      <c r="AA56" s="1260"/>
      <c r="AB56">
        <v>28</v>
      </c>
      <c r="AC56" s="1203" t="e">
        <f>(#REF!*'Table 3 Levels 1&amp;2'!AP57)+'Table 2_State Distrib and Adjs'!F56</f>
        <v>#REF!</v>
      </c>
      <c r="AD56" s="744" t="e">
        <f t="shared" si="21"/>
        <v>#REF!</v>
      </c>
      <c r="AE56" s="284" t="e">
        <f t="shared" si="22"/>
        <v>#REF!</v>
      </c>
    </row>
    <row r="57" spans="1:31">
      <c r="A57" s="99">
        <v>51</v>
      </c>
      <c r="B57" s="302" t="s">
        <v>142</v>
      </c>
      <c r="C57" s="311">
        <f>'Table 3 Levels 1&amp;2'!AO58</f>
        <v>44559387.803552404</v>
      </c>
      <c r="D57" s="358">
        <f>'[1]Adjusted Amounts'!C57</f>
        <v>-23603.564440792776</v>
      </c>
      <c r="E57" s="358">
        <f>'[2]Adjusted Amounts'!H57</f>
        <v>2736.5598630378809</v>
      </c>
      <c r="F57" s="358">
        <f t="shared" si="14"/>
        <v>-20867.004577754895</v>
      </c>
      <c r="G57" s="311">
        <f t="shared" si="10"/>
        <v>0</v>
      </c>
      <c r="H57" s="358">
        <f t="shared" si="15"/>
        <v>-20867.004577754895</v>
      </c>
      <c r="I57" s="358"/>
      <c r="J57" s="358">
        <f>-'Table 5C1A-Madison Prep'!H57</f>
        <v>0</v>
      </c>
      <c r="K57" s="358">
        <f>-'Table 5C1B-DArbonne'!H57</f>
        <v>0</v>
      </c>
      <c r="L57" s="358">
        <f>-'Table 5C1C-Intl_VIBE'!H57</f>
        <v>0</v>
      </c>
      <c r="M57" s="358">
        <f>-'Table 5C1D-NOMMA'!H57</f>
        <v>0</v>
      </c>
      <c r="N57" s="358">
        <f>-'Table 5C1E-LFNO'!H57</f>
        <v>0</v>
      </c>
      <c r="O57" s="358">
        <f>-'Table 5C1F-Lake Charles Charter'!H57</f>
        <v>0</v>
      </c>
      <c r="P57" s="358">
        <f>-'Table 5C1G-JS Clark Academy'!H57</f>
        <v>0</v>
      </c>
      <c r="Q57" s="358">
        <f>-'Table 5C1H-Southwest LA Charter'!H57</f>
        <v>0</v>
      </c>
      <c r="R57" s="315">
        <f>-('Table 5C2 - LA Virtual Admy'!H54+'Table 5C2 - LA Virtual Admy'!I54)</f>
        <v>-4952.69398727936</v>
      </c>
      <c r="S57" s="315">
        <f>-'Table 5C3 - LA Connections EBR'!H54-'Table 5C3 - LA Connections EBR'!I54</f>
        <v>-4952.69398727936</v>
      </c>
      <c r="T57" s="315">
        <f t="shared" si="19"/>
        <v>-9905.3879745587201</v>
      </c>
      <c r="U57" s="552">
        <f t="shared" si="20"/>
        <v>44528615</v>
      </c>
      <c r="V57" s="311">
        <f t="shared" si="16"/>
        <v>3710718</v>
      </c>
      <c r="W57" s="311">
        <f>'Table 4A Stipends'!G54</f>
        <v>0</v>
      </c>
      <c r="X57" s="311">
        <f t="shared" si="17"/>
        <v>44528615</v>
      </c>
      <c r="Y57" s="1254"/>
      <c r="Z57" s="1257"/>
      <c r="AA57" s="1260"/>
      <c r="AB57">
        <v>29</v>
      </c>
      <c r="AC57" s="1203" t="e">
        <f>(#REF!*'Table 3 Levels 1&amp;2'!AP58)+'Table 2_State Distrib and Adjs'!F57</f>
        <v>#REF!</v>
      </c>
      <c r="AD57" s="744" t="e">
        <f t="shared" si="21"/>
        <v>#REF!</v>
      </c>
      <c r="AE57" s="284" t="e">
        <f t="shared" si="22"/>
        <v>#REF!</v>
      </c>
    </row>
    <row r="58" spans="1:31">
      <c r="A58" s="99">
        <v>52</v>
      </c>
      <c r="B58" s="302" t="s">
        <v>143</v>
      </c>
      <c r="C58" s="311">
        <f>'Table 3 Levels 1&amp;2'!AO59</f>
        <v>210299512.26220989</v>
      </c>
      <c r="D58" s="358">
        <f>'[1]Adjusted Amounts'!C58</f>
        <v>-33867.362356248894</v>
      </c>
      <c r="E58" s="358">
        <f>'[2]Adjusted Amounts'!H58</f>
        <v>-149518.07778132393</v>
      </c>
      <c r="F58" s="358">
        <f t="shared" si="14"/>
        <v>-183385.44013757282</v>
      </c>
      <c r="G58" s="311">
        <f t="shared" si="10"/>
        <v>0</v>
      </c>
      <c r="H58" s="358">
        <f t="shared" si="15"/>
        <v>-183385.44013757282</v>
      </c>
      <c r="I58" s="358"/>
      <c r="J58" s="49">
        <f>-'Table 5C1A-Madison Prep'!H58</f>
        <v>0</v>
      </c>
      <c r="K58" s="358">
        <f>-'Table 5C1B-DArbonne'!H58</f>
        <v>0</v>
      </c>
      <c r="L58" s="358">
        <f>-'Table 5C1C-Intl_VIBE'!H58</f>
        <v>-17015.441415033976</v>
      </c>
      <c r="M58" s="358">
        <f>-'Table 5C1D-NOMMA'!H58</f>
        <v>0</v>
      </c>
      <c r="N58" s="358">
        <f>-'Table 5C1E-LFNO'!H58</f>
        <v>-5671.8138050113248</v>
      </c>
      <c r="O58" s="358">
        <f>-'Table 5C1F-Lake Charles Charter'!H58</f>
        <v>0</v>
      </c>
      <c r="P58" s="358">
        <f>-'Table 5C1G-JS Clark Academy'!H58</f>
        <v>0</v>
      </c>
      <c r="Q58" s="358">
        <f>-'Table 5C1H-Southwest LA Charter'!H58</f>
        <v>0</v>
      </c>
      <c r="R58" s="315">
        <f>-('Table 5C2 - LA Virtual Admy'!H55+'Table 5C2 - LA Virtual Admy'!I55)</f>
        <v>-385683.33874077006</v>
      </c>
      <c r="S58" s="315">
        <f>-'Table 5C3 - LA Connections EBR'!H55-'Table 5C3 - LA Connections EBR'!I55</f>
        <v>-606884.0771362118</v>
      </c>
      <c r="T58" s="315">
        <f t="shared" si="19"/>
        <v>-1015254.6710970271</v>
      </c>
      <c r="U58" s="552">
        <f t="shared" si="20"/>
        <v>209100872</v>
      </c>
      <c r="V58" s="311">
        <f t="shared" si="16"/>
        <v>17425073</v>
      </c>
      <c r="W58" s="311">
        <f>'Table 4A Stipends'!G55</f>
        <v>0</v>
      </c>
      <c r="X58" s="311">
        <f t="shared" si="17"/>
        <v>209100872</v>
      </c>
      <c r="Y58" s="1254"/>
      <c r="Z58" s="1257"/>
      <c r="AA58" s="1257"/>
      <c r="AC58" s="1203" t="e">
        <f>(#REF!*'Table 3 Levels 1&amp;2'!AP59)+'Table 2_State Distrib and Adjs'!F58</f>
        <v>#REF!</v>
      </c>
      <c r="AD58" s="744" t="e">
        <f t="shared" si="21"/>
        <v>#REF!</v>
      </c>
      <c r="AE58" s="284" t="e">
        <f t="shared" si="22"/>
        <v>#REF!</v>
      </c>
    </row>
    <row r="59" spans="1:31">
      <c r="A59" s="99">
        <v>53</v>
      </c>
      <c r="B59" s="302" t="s">
        <v>144</v>
      </c>
      <c r="C59" s="311">
        <f>'Table 3 Levels 1&amp;2'!AO60</f>
        <v>104633700.03331999</v>
      </c>
      <c r="D59" s="358">
        <f>'[1]Adjusted Amounts'!C59</f>
        <v>2717.5270563218037</v>
      </c>
      <c r="E59" s="358">
        <f>'[2]Adjusted Amounts'!H59</f>
        <v>535.09967560998848</v>
      </c>
      <c r="F59" s="358">
        <f t="shared" si="14"/>
        <v>3252.6267319317922</v>
      </c>
      <c r="G59" s="311">
        <f t="shared" si="10"/>
        <v>3252.6267319317922</v>
      </c>
      <c r="H59" s="358">
        <f t="shared" si="15"/>
        <v>0</v>
      </c>
      <c r="I59" s="358"/>
      <c r="J59" s="358">
        <f>-'Table 5C1A-Madison Prep'!H59</f>
        <v>0</v>
      </c>
      <c r="K59" s="358">
        <f>-'Table 5C1B-DArbonne'!H59</f>
        <v>0</v>
      </c>
      <c r="L59" s="358">
        <f>-'Table 5C1C-Intl_VIBE'!H59</f>
        <v>0</v>
      </c>
      <c r="M59" s="358">
        <f>-'Table 5C1D-NOMMA'!H59</f>
        <v>0</v>
      </c>
      <c r="N59" s="358">
        <f>-'Table 5C1E-LFNO'!H59</f>
        <v>0</v>
      </c>
      <c r="O59" s="358">
        <f>-'Table 5C1F-Lake Charles Charter'!H59</f>
        <v>0</v>
      </c>
      <c r="P59" s="358">
        <f>-'Table 5C1G-JS Clark Academy'!H59</f>
        <v>0</v>
      </c>
      <c r="Q59" s="358">
        <f>-'Table 5C1H-Southwest LA Charter'!H59</f>
        <v>0</v>
      </c>
      <c r="R59" s="315">
        <f>-('Table 5C2 - LA Virtual Admy'!H56+'Table 5C2 - LA Virtual Admy'!I56)</f>
        <v>-278731.71594146354</v>
      </c>
      <c r="S59" s="315">
        <f>-'Table 5C3 - LA Connections EBR'!H56-'Table 5C3 - LA Connections EBR'!I56</f>
        <v>-300593.02699569595</v>
      </c>
      <c r="T59" s="315">
        <f t="shared" si="19"/>
        <v>-579324.74293715949</v>
      </c>
      <c r="U59" s="552">
        <f t="shared" si="20"/>
        <v>104057628</v>
      </c>
      <c r="V59" s="311">
        <f t="shared" si="16"/>
        <v>8671469</v>
      </c>
      <c r="W59" s="311">
        <f>'Table 4A Stipends'!G56</f>
        <v>8000</v>
      </c>
      <c r="X59" s="311">
        <f t="shared" si="17"/>
        <v>104065628</v>
      </c>
      <c r="Y59" s="1254"/>
      <c r="Z59" s="1257"/>
      <c r="AA59" s="1260"/>
      <c r="AB59">
        <v>30</v>
      </c>
      <c r="AC59" s="1203" t="e">
        <f>(#REF!*'Table 3 Levels 1&amp;2'!AP60)+'Table 2_State Distrib and Adjs'!F59</f>
        <v>#REF!</v>
      </c>
      <c r="AD59" s="744" t="e">
        <f t="shared" si="21"/>
        <v>#REF!</v>
      </c>
      <c r="AE59" s="284" t="e">
        <f t="shared" si="22"/>
        <v>#REF!</v>
      </c>
    </row>
    <row r="60" spans="1:31">
      <c r="A60" s="99">
        <v>54</v>
      </c>
      <c r="B60" s="302" t="s">
        <v>145</v>
      </c>
      <c r="C60" s="311">
        <f>'Table 3 Levels 1&amp;2'!AO61</f>
        <v>4708017.1401439998</v>
      </c>
      <c r="D60" s="358">
        <f>'[1]Adjusted Amounts'!C60</f>
        <v>0</v>
      </c>
      <c r="E60" s="358">
        <f>'[2]Adjusted Amounts'!H60</f>
        <v>0</v>
      </c>
      <c r="F60" s="358">
        <f t="shared" si="14"/>
        <v>0</v>
      </c>
      <c r="G60" s="311">
        <f t="shared" si="10"/>
        <v>0</v>
      </c>
      <c r="H60" s="358">
        <f t="shared" si="15"/>
        <v>0</v>
      </c>
      <c r="I60" s="358"/>
      <c r="J60" s="358">
        <f>-'Table 5C1A-Madison Prep'!H60</f>
        <v>0</v>
      </c>
      <c r="K60" s="358">
        <f>-'Table 5C1B-DArbonne'!H60</f>
        <v>0</v>
      </c>
      <c r="L60" s="358">
        <f>-'Table 5C1C-Intl_VIBE'!H60</f>
        <v>0</v>
      </c>
      <c r="M60" s="358">
        <f>-'Table 5C1D-NOMMA'!H60</f>
        <v>0</v>
      </c>
      <c r="N60" s="358">
        <f>-'Table 5C1E-LFNO'!H60</f>
        <v>0</v>
      </c>
      <c r="O60" s="358">
        <f>-'Table 5C1F-Lake Charles Charter'!H60</f>
        <v>0</v>
      </c>
      <c r="P60" s="358">
        <f>-'Table 5C1G-JS Clark Academy'!H60</f>
        <v>0</v>
      </c>
      <c r="Q60" s="358">
        <f>-'Table 5C1H-Southwest LA Charter'!H60</f>
        <v>0</v>
      </c>
      <c r="R60" s="315">
        <f>-('Table 5C2 - LA Virtual Admy'!H57+'Table 5C2 - LA Virtual Admy'!I57)</f>
        <v>0</v>
      </c>
      <c r="S60" s="315">
        <f>-'Table 5C3 - LA Connections EBR'!H57-'Table 5C3 - LA Connections EBR'!I57</f>
        <v>-34516.254693137831</v>
      </c>
      <c r="T60" s="315">
        <f t="shared" si="19"/>
        <v>-34516.254693137831</v>
      </c>
      <c r="U60" s="552">
        <f t="shared" si="20"/>
        <v>4673501</v>
      </c>
      <c r="V60" s="311">
        <f t="shared" si="16"/>
        <v>389458</v>
      </c>
      <c r="W60" s="311">
        <f>'Table 4A Stipends'!G57</f>
        <v>0</v>
      </c>
      <c r="X60" s="311">
        <f t="shared" si="17"/>
        <v>4673501</v>
      </c>
      <c r="Y60" s="1254"/>
      <c r="Z60" s="1257"/>
      <c r="AA60" s="1260"/>
      <c r="AB60">
        <v>31</v>
      </c>
      <c r="AC60" s="1203" t="e">
        <f>(#REF!*'Table 3 Levels 1&amp;2'!AP61)+'Table 2_State Distrib and Adjs'!F60</f>
        <v>#REF!</v>
      </c>
      <c r="AD60" s="744" t="e">
        <f t="shared" si="21"/>
        <v>#REF!</v>
      </c>
      <c r="AE60" s="284" t="e">
        <f t="shared" si="22"/>
        <v>#REF!</v>
      </c>
    </row>
    <row r="61" spans="1:31">
      <c r="A61" s="100">
        <v>55</v>
      </c>
      <c r="B61" s="303" t="s">
        <v>146</v>
      </c>
      <c r="C61" s="319">
        <f>'Table 3 Levels 1&amp;2'!AO62</f>
        <v>88179553.755879998</v>
      </c>
      <c r="D61" s="359">
        <f>'[1]Adjusted Amounts'!C61</f>
        <v>0</v>
      </c>
      <c r="E61" s="359">
        <f>'[2]Adjusted Amounts'!H61</f>
        <v>-19024.122282890603</v>
      </c>
      <c r="F61" s="359">
        <f t="shared" si="14"/>
        <v>-19024.122282890603</v>
      </c>
      <c r="G61" s="319">
        <f t="shared" si="10"/>
        <v>0</v>
      </c>
      <c r="H61" s="359">
        <f t="shared" si="15"/>
        <v>-19024.122282890603</v>
      </c>
      <c r="I61" s="359"/>
      <c r="J61" s="359">
        <f>-'Table 5C1A-Madison Prep'!H61</f>
        <v>0</v>
      </c>
      <c r="K61" s="359">
        <f>-'Table 5C1B-DArbonne'!H61</f>
        <v>0</v>
      </c>
      <c r="L61" s="359">
        <f>-'Table 5C1C-Intl_VIBE'!H61</f>
        <v>0</v>
      </c>
      <c r="M61" s="359">
        <f>-'Table 5C1D-NOMMA'!H61</f>
        <v>0</v>
      </c>
      <c r="N61" s="359">
        <f>-'Table 5C1E-LFNO'!H61</f>
        <v>0</v>
      </c>
      <c r="O61" s="359">
        <f>-'Table 5C1F-Lake Charles Charter'!H61</f>
        <v>0</v>
      </c>
      <c r="P61" s="359">
        <f>-'Table 5C1G-JS Clark Academy'!H61</f>
        <v>0</v>
      </c>
      <c r="Q61" s="359">
        <f>-'Table 5C1H-Southwest LA Charter'!H61</f>
        <v>0</v>
      </c>
      <c r="R61" s="321">
        <f>-('Table 5C2 - LA Virtual Admy'!H58+'Table 5C2 - LA Virtual Admy'!I58)</f>
        <v>-104289.85294398962</v>
      </c>
      <c r="S61" s="321">
        <f>-'Table 5C3 - LA Connections EBR'!H58-'Table 5C3 - LA Connections EBR'!I58</f>
        <v>-193681.15546740929</v>
      </c>
      <c r="T61" s="321">
        <f t="shared" si="19"/>
        <v>-297971.00841139891</v>
      </c>
      <c r="U61" s="553">
        <f t="shared" si="20"/>
        <v>87862559</v>
      </c>
      <c r="V61" s="319">
        <f t="shared" si="16"/>
        <v>7321880</v>
      </c>
      <c r="W61" s="319">
        <f>'Table 4A Stipends'!G58</f>
        <v>0</v>
      </c>
      <c r="X61" s="319">
        <f t="shared" si="17"/>
        <v>87862559</v>
      </c>
      <c r="Y61" s="1254"/>
      <c r="Z61" s="1257"/>
      <c r="AA61" s="1260"/>
      <c r="AB61">
        <v>32</v>
      </c>
      <c r="AC61" s="1203" t="e">
        <f>(#REF!*'Table 3 Levels 1&amp;2'!AP62)+'Table 2_State Distrib and Adjs'!F61</f>
        <v>#REF!</v>
      </c>
      <c r="AD61" s="744" t="e">
        <f t="shared" si="21"/>
        <v>#REF!</v>
      </c>
      <c r="AE61" s="284" t="e">
        <f t="shared" si="22"/>
        <v>#REF!</v>
      </c>
    </row>
    <row r="62" spans="1:31">
      <c r="A62" s="99">
        <v>56</v>
      </c>
      <c r="B62" s="302" t="s">
        <v>147</v>
      </c>
      <c r="C62" s="311">
        <f>'Table 3 Levels 1&amp;2'!AO63</f>
        <v>15968104.122464001</v>
      </c>
      <c r="D62" s="358">
        <f>'[1]Adjusted Amounts'!C62</f>
        <v>0</v>
      </c>
      <c r="E62" s="358">
        <f>'[2]Adjusted Amounts'!H62</f>
        <v>0</v>
      </c>
      <c r="F62" s="358">
        <f t="shared" si="14"/>
        <v>0</v>
      </c>
      <c r="G62" s="311">
        <f t="shared" si="10"/>
        <v>0</v>
      </c>
      <c r="H62" s="358">
        <f t="shared" si="15"/>
        <v>0</v>
      </c>
      <c r="I62" s="358"/>
      <c r="J62" s="49">
        <f>-'Table 5C1A-Madison Prep'!H62</f>
        <v>0</v>
      </c>
      <c r="K62" s="358">
        <f>-'Table 5C1B-DArbonne'!H62-'Table 5C1B-DArbonne'!H76</f>
        <v>-2970290.6969058909</v>
      </c>
      <c r="L62" s="358">
        <f>-'Table 5C1C-Intl_VIBE'!H62</f>
        <v>0</v>
      </c>
      <c r="M62" s="358">
        <f>-'Table 5C1D-NOMMA'!H62</f>
        <v>0</v>
      </c>
      <c r="N62" s="358">
        <f>-'Table 5C1E-LFNO'!H62</f>
        <v>0</v>
      </c>
      <c r="O62" s="358">
        <f>-'Table 5C1F-Lake Charles Charter'!H62</f>
        <v>0</v>
      </c>
      <c r="P62" s="358">
        <f>-'Table 5C1G-JS Clark Academy'!H62</f>
        <v>0</v>
      </c>
      <c r="Q62" s="358">
        <f>-'Table 5C1H-Southwest LA Charter'!H62</f>
        <v>0</v>
      </c>
      <c r="R62" s="315">
        <f>-('Table 5C2 - LA Virtual Admy'!H59+'Table 5C2 - LA Virtual Admy'!I59)</f>
        <v>-39082.772327709092</v>
      </c>
      <c r="S62" s="315">
        <f>-'Table 5C3 - LA Connections EBR'!H59-'Table 5C3 - LA Connections EBR'!I59</f>
        <v>-27916.265948363638</v>
      </c>
      <c r="T62" s="315">
        <f t="shared" si="19"/>
        <v>-3037289.7351819635</v>
      </c>
      <c r="U62" s="552">
        <f t="shared" si="20"/>
        <v>12930814</v>
      </c>
      <c r="V62" s="311">
        <f t="shared" si="16"/>
        <v>1077568</v>
      </c>
      <c r="W62" s="311">
        <f>'Table 4A Stipends'!G59</f>
        <v>0</v>
      </c>
      <c r="X62" s="311">
        <f t="shared" si="17"/>
        <v>12930814</v>
      </c>
      <c r="Y62" s="1254"/>
      <c r="Z62" s="1257"/>
      <c r="AA62" s="1260"/>
      <c r="AB62">
        <v>33</v>
      </c>
      <c r="AC62" s="1203" t="e">
        <f>(#REF!*'Table 3 Levels 1&amp;2'!AP63)+'Table 2_State Distrib and Adjs'!F62</f>
        <v>#REF!</v>
      </c>
      <c r="AD62" s="744" t="e">
        <f t="shared" si="21"/>
        <v>#REF!</v>
      </c>
      <c r="AE62" s="284" t="e">
        <f t="shared" si="22"/>
        <v>#REF!</v>
      </c>
    </row>
    <row r="63" spans="1:31">
      <c r="A63" s="99">
        <v>57</v>
      </c>
      <c r="B63" s="302" t="s">
        <v>148</v>
      </c>
      <c r="C63" s="311">
        <f>'Table 3 Levels 1&amp;2'!AO64</f>
        <v>47498715.931391999</v>
      </c>
      <c r="D63" s="358">
        <f>'[1]Adjusted Amounts'!C63</f>
        <v>0</v>
      </c>
      <c r="E63" s="358">
        <f>'[2]Adjusted Amounts'!H63</f>
        <v>0</v>
      </c>
      <c r="F63" s="358">
        <f t="shared" si="14"/>
        <v>0</v>
      </c>
      <c r="G63" s="311">
        <f t="shared" si="10"/>
        <v>0</v>
      </c>
      <c r="H63" s="358">
        <f t="shared" si="15"/>
        <v>0</v>
      </c>
      <c r="I63" s="358"/>
      <c r="J63" s="358">
        <f>-'Table 5C1A-Madison Prep'!H63</f>
        <v>0</v>
      </c>
      <c r="K63" s="358">
        <f>-'Table 5C1B-DArbonne'!H63</f>
        <v>0</v>
      </c>
      <c r="L63" s="358">
        <f>-'Table 5C1C-Intl_VIBE'!H63</f>
        <v>0</v>
      </c>
      <c r="M63" s="358">
        <f>-'Table 5C1D-NOMMA'!H63</f>
        <v>0</v>
      </c>
      <c r="N63" s="358">
        <f>-'Table 5C1E-LFNO'!H63</f>
        <v>0</v>
      </c>
      <c r="O63" s="358">
        <f>-'Table 5C1F-Lake Charles Charter'!H63</f>
        <v>0</v>
      </c>
      <c r="P63" s="358">
        <f>-'Table 5C1G-JS Clark Academy'!H63</f>
        <v>0</v>
      </c>
      <c r="Q63" s="358">
        <f>-'Table 5C1H-Southwest LA Charter'!H63</f>
        <v>0</v>
      </c>
      <c r="R63" s="315">
        <f>-('Table 5C2 - LA Virtual Admy'!H60+'Table 5C2 - LA Virtual Admy'!I60)</f>
        <v>-52502.173020218856</v>
      </c>
      <c r="S63" s="315">
        <f>-'Table 5C3 - LA Connections EBR'!H60-'Table 5C3 - LA Connections EBR'!I60</f>
        <v>-31501.303812131315</v>
      </c>
      <c r="T63" s="315">
        <f t="shared" si="19"/>
        <v>-84003.476832350163</v>
      </c>
      <c r="U63" s="552">
        <f t="shared" si="20"/>
        <v>47414712</v>
      </c>
      <c r="V63" s="311">
        <f t="shared" si="16"/>
        <v>3951226</v>
      </c>
      <c r="W63" s="311">
        <f>'Table 4A Stipends'!G60</f>
        <v>0</v>
      </c>
      <c r="X63" s="311">
        <f t="shared" si="17"/>
        <v>47414712</v>
      </c>
      <c r="Y63" s="1254"/>
      <c r="Z63" s="1257"/>
      <c r="AA63" s="1257"/>
      <c r="AC63" s="1203" t="e">
        <f>(#REF!*'Table 3 Levels 1&amp;2'!AP64)+'Table 2_State Distrib and Adjs'!F63</f>
        <v>#REF!</v>
      </c>
      <c r="AD63" s="744" t="e">
        <f t="shared" si="21"/>
        <v>#REF!</v>
      </c>
      <c r="AE63" s="284" t="e">
        <f t="shared" si="22"/>
        <v>#REF!</v>
      </c>
    </row>
    <row r="64" spans="1:31">
      <c r="A64" s="99">
        <v>58</v>
      </c>
      <c r="B64" s="302" t="s">
        <v>149</v>
      </c>
      <c r="C64" s="311">
        <f>'Table 3 Levels 1&amp;2'!AO65</f>
        <v>55948098.088360004</v>
      </c>
      <c r="D64" s="358">
        <f>'[1]Adjusted Amounts'!C64</f>
        <v>0</v>
      </c>
      <c r="E64" s="358">
        <f>'[2]Adjusted Amounts'!H64</f>
        <v>-8216.5165012490943</v>
      </c>
      <c r="F64" s="358">
        <f t="shared" si="14"/>
        <v>-8216.5165012490943</v>
      </c>
      <c r="G64" s="311">
        <f t="shared" si="10"/>
        <v>0</v>
      </c>
      <c r="H64" s="358">
        <f t="shared" si="15"/>
        <v>-8216.5165012490943</v>
      </c>
      <c r="I64" s="358"/>
      <c r="J64" s="358">
        <f>-'Table 5C1A-Madison Prep'!H64</f>
        <v>0</v>
      </c>
      <c r="K64" s="358">
        <f>-'Table 5C1B-DArbonne'!H64</f>
        <v>0</v>
      </c>
      <c r="L64" s="358">
        <f>-'Table 5C1C-Intl_VIBE'!H64</f>
        <v>0</v>
      </c>
      <c r="M64" s="358">
        <f>-'Table 5C1D-NOMMA'!H64</f>
        <v>0</v>
      </c>
      <c r="N64" s="358">
        <f>-'Table 5C1E-LFNO'!H64</f>
        <v>0</v>
      </c>
      <c r="O64" s="358">
        <f>-'Table 5C1F-Lake Charles Charter'!H64</f>
        <v>0</v>
      </c>
      <c r="P64" s="358">
        <f>-'Table 5C1G-JS Clark Academy'!H64</f>
        <v>0</v>
      </c>
      <c r="Q64" s="358">
        <f>-'Table 5C1H-Southwest LA Charter'!H64</f>
        <v>0</v>
      </c>
      <c r="R64" s="315">
        <f>-('Table 5C2 - LA Virtual Admy'!H61+'Table 5C2 - LA Virtual Admy'!I61)</f>
        <v>-184647.18841042905</v>
      </c>
      <c r="S64" s="315">
        <f>-'Table 5C3 - LA Connections EBR'!H61-'Table 5C3 - LA Connections EBR'!I61</f>
        <v>-172337.37584973377</v>
      </c>
      <c r="T64" s="315">
        <f t="shared" si="19"/>
        <v>-356984.56426016282</v>
      </c>
      <c r="U64" s="552">
        <f t="shared" si="20"/>
        <v>55582897</v>
      </c>
      <c r="V64" s="311">
        <f t="shared" si="16"/>
        <v>4631908</v>
      </c>
      <c r="W64" s="311">
        <f>'Table 4A Stipends'!G61</f>
        <v>0</v>
      </c>
      <c r="X64" s="311">
        <f t="shared" si="17"/>
        <v>55582897</v>
      </c>
      <c r="Y64" s="1254"/>
      <c r="Z64" s="1257"/>
      <c r="AA64" s="1260"/>
      <c r="AB64">
        <v>34</v>
      </c>
      <c r="AC64" s="1203" t="e">
        <f>(#REF!*'Table 3 Levels 1&amp;2'!AP65)+'Table 2_State Distrib and Adjs'!F64</f>
        <v>#REF!</v>
      </c>
      <c r="AD64" s="744" t="e">
        <f t="shared" si="21"/>
        <v>#REF!</v>
      </c>
      <c r="AE64" s="284" t="e">
        <f t="shared" si="22"/>
        <v>#REF!</v>
      </c>
    </row>
    <row r="65" spans="1:31">
      <c r="A65" s="99">
        <v>59</v>
      </c>
      <c r="B65" s="302" t="s">
        <v>150</v>
      </c>
      <c r="C65" s="311">
        <f>'Table 3 Levels 1&amp;2'!AO66</f>
        <v>36539051.431552</v>
      </c>
      <c r="D65" s="358">
        <f>'[1]Adjusted Amounts'!C65</f>
        <v>0</v>
      </c>
      <c r="E65" s="358">
        <f>'[2]Adjusted Amounts'!H65</f>
        <v>0</v>
      </c>
      <c r="F65" s="358">
        <f t="shared" si="14"/>
        <v>0</v>
      </c>
      <c r="G65" s="311">
        <f t="shared" si="10"/>
        <v>0</v>
      </c>
      <c r="H65" s="358">
        <f t="shared" si="15"/>
        <v>0</v>
      </c>
      <c r="I65" s="358"/>
      <c r="J65" s="358">
        <f>-'Table 5C1A-Madison Prep'!H65</f>
        <v>0</v>
      </c>
      <c r="K65" s="358">
        <f>-'Table 5C1B-DArbonne'!H65</f>
        <v>0</v>
      </c>
      <c r="L65" s="358">
        <f>-'Table 5C1C-Intl_VIBE'!H65</f>
        <v>0</v>
      </c>
      <c r="M65" s="358">
        <f>-'Table 5C1D-NOMMA'!H65</f>
        <v>0</v>
      </c>
      <c r="N65" s="358">
        <f>-'Table 5C1E-LFNO'!H65</f>
        <v>0</v>
      </c>
      <c r="O65" s="358">
        <f>-'Table 5C1F-Lake Charles Charter'!H65</f>
        <v>0</v>
      </c>
      <c r="P65" s="358">
        <f>-'Table 5C1G-JS Clark Academy'!H65</f>
        <v>0</v>
      </c>
      <c r="Q65" s="358">
        <f>-'Table 5C1H-Southwest LA Charter'!H65</f>
        <v>0</v>
      </c>
      <c r="R65" s="315">
        <f>-('Table 5C2 - LA Virtual Admy'!H62+'Table 5C2 - LA Virtual Admy'!I62)</f>
        <v>-90529.382239408427</v>
      </c>
      <c r="S65" s="315">
        <f>-'Table 5C3 - LA Connections EBR'!H62-'Table 5C3 - LA Connections EBR'!I62</f>
        <v>-97493.180873209072</v>
      </c>
      <c r="T65" s="315">
        <f t="shared" si="19"/>
        <v>-188022.5631126175</v>
      </c>
      <c r="U65" s="552">
        <f t="shared" si="20"/>
        <v>36351029</v>
      </c>
      <c r="V65" s="311">
        <f t="shared" si="16"/>
        <v>3029252</v>
      </c>
      <c r="W65" s="311">
        <f>'Table 4A Stipends'!G62</f>
        <v>0</v>
      </c>
      <c r="X65" s="311">
        <f t="shared" si="17"/>
        <v>36351029</v>
      </c>
      <c r="Y65" s="1254"/>
      <c r="Z65" s="1257"/>
      <c r="AA65" s="1260"/>
      <c r="AB65">
        <v>35</v>
      </c>
      <c r="AC65" s="1203" t="e">
        <f>(#REF!*'Table 3 Levels 1&amp;2'!AP66)+'Table 2_State Distrib and Adjs'!F65</f>
        <v>#REF!</v>
      </c>
      <c r="AD65" s="744" t="e">
        <f t="shared" si="21"/>
        <v>#REF!</v>
      </c>
      <c r="AE65" s="284" t="e">
        <f t="shared" si="22"/>
        <v>#REF!</v>
      </c>
    </row>
    <row r="66" spans="1:31">
      <c r="A66" s="100">
        <v>60</v>
      </c>
      <c r="B66" s="303" t="s">
        <v>151</v>
      </c>
      <c r="C66" s="319">
        <f>'Table 3 Levels 1&amp;2'!AO67</f>
        <v>35938473.707403839</v>
      </c>
      <c r="D66" s="359">
        <f>'[1]Adjusted Amounts'!C66</f>
        <v>-2753.9485829962941</v>
      </c>
      <c r="E66" s="359">
        <f>'[2]Adjusted Amounts'!H66</f>
        <v>-4544.1652770033907</v>
      </c>
      <c r="F66" s="359">
        <f t="shared" si="14"/>
        <v>-7298.1138599996848</v>
      </c>
      <c r="G66" s="319">
        <f t="shared" si="10"/>
        <v>0</v>
      </c>
      <c r="H66" s="359">
        <f t="shared" si="15"/>
        <v>-7298.1138599996848</v>
      </c>
      <c r="I66" s="359"/>
      <c r="J66" s="359">
        <f>-'Table 5C1A-Madison Prep'!H66</f>
        <v>0</v>
      </c>
      <c r="K66" s="359">
        <f>-'Table 5C1B-DArbonne'!H66</f>
        <v>0</v>
      </c>
      <c r="L66" s="359">
        <f>-'Table 5C1C-Intl_VIBE'!H66</f>
        <v>0</v>
      </c>
      <c r="M66" s="359">
        <f>-'Table 5C1D-NOMMA'!H66</f>
        <v>0</v>
      </c>
      <c r="N66" s="359">
        <f>-'Table 5C1E-LFNO'!H66</f>
        <v>0</v>
      </c>
      <c r="O66" s="359">
        <f>-'Table 5C1F-Lake Charles Charter'!H66</f>
        <v>0</v>
      </c>
      <c r="P66" s="359">
        <f>-'Table 5C1G-JS Clark Academy'!H66</f>
        <v>0</v>
      </c>
      <c r="Q66" s="359">
        <f>-'Table 5C1H-Southwest LA Charter'!H66</f>
        <v>0</v>
      </c>
      <c r="R66" s="321">
        <f>-('Table 5C2 - LA Virtual Admy'!H63+'Table 5C2 - LA Virtual Admy'!I63)</f>
        <v>-94094.2635185377</v>
      </c>
      <c r="S66" s="321">
        <f>-'Table 5C3 - LA Connections EBR'!H63-'Table 5C3 - LA Connections EBR'!I63</f>
        <v>-143908.87361658708</v>
      </c>
      <c r="T66" s="321">
        <f t="shared" si="19"/>
        <v>-238003.13713512477</v>
      </c>
      <c r="U66" s="553">
        <f t="shared" si="20"/>
        <v>35693172</v>
      </c>
      <c r="V66" s="319">
        <f t="shared" si="16"/>
        <v>2974431</v>
      </c>
      <c r="W66" s="319">
        <f>'Table 4A Stipends'!G63</f>
        <v>0</v>
      </c>
      <c r="X66" s="319">
        <f t="shared" si="17"/>
        <v>35693172</v>
      </c>
      <c r="Y66" s="1254"/>
      <c r="Z66" s="1257"/>
      <c r="AA66" s="1257"/>
      <c r="AC66" s="1203" t="e">
        <f>(#REF!*'Table 3 Levels 1&amp;2'!AP67)+'Table 2_State Distrib and Adjs'!F66</f>
        <v>#REF!</v>
      </c>
      <c r="AD66" s="744" t="e">
        <f t="shared" si="21"/>
        <v>#REF!</v>
      </c>
      <c r="AE66" s="284" t="e">
        <f t="shared" si="22"/>
        <v>#REF!</v>
      </c>
    </row>
    <row r="67" spans="1:31">
      <c r="A67" s="99">
        <v>61</v>
      </c>
      <c r="B67" s="302" t="s">
        <v>152</v>
      </c>
      <c r="C67" s="311">
        <f>'Table 3 Levels 1&amp;2'!AO68</f>
        <v>13545115.042700799</v>
      </c>
      <c r="D67" s="358">
        <f>'[1]Adjusted Amounts'!C67</f>
        <v>0</v>
      </c>
      <c r="E67" s="358">
        <f>'[2]Adjusted Amounts'!H67</f>
        <v>0</v>
      </c>
      <c r="F67" s="358">
        <f t="shared" si="14"/>
        <v>0</v>
      </c>
      <c r="G67" s="311">
        <f t="shared" si="10"/>
        <v>0</v>
      </c>
      <c r="H67" s="358">
        <f t="shared" si="15"/>
        <v>0</v>
      </c>
      <c r="I67" s="358"/>
      <c r="J67" s="358">
        <f>-'Table 5C1A-Madison Prep'!H67</f>
        <v>-3741.7444869339229</v>
      </c>
      <c r="K67" s="358">
        <f>-'Table 5C1B-DArbonne'!H67</f>
        <v>0</v>
      </c>
      <c r="L67" s="358">
        <f>-'Table 5C1C-Intl_VIBE'!H67</f>
        <v>0</v>
      </c>
      <c r="M67" s="358">
        <f>-'Table 5C1D-NOMMA'!H67</f>
        <v>0</v>
      </c>
      <c r="N67" s="358">
        <f>-'Table 5C1E-LFNO'!H67</f>
        <v>0</v>
      </c>
      <c r="O67" s="358">
        <f>-'Table 5C1F-Lake Charles Charter'!H67</f>
        <v>0</v>
      </c>
      <c r="P67" s="358">
        <f>-'Table 5C1G-JS Clark Academy'!H67</f>
        <v>0</v>
      </c>
      <c r="Q67" s="358">
        <f>-'Table 5C1H-Southwest LA Charter'!H67</f>
        <v>0</v>
      </c>
      <c r="R67" s="315">
        <f>-('Table 5C2 - LA Virtual Admy'!H64+'Table 5C2 - LA Virtual Admy'!I64)</f>
        <v>-22450.466921603536</v>
      </c>
      <c r="S67" s="315">
        <f>-'Table 5C3 - LA Connections EBR'!H64-'Table 5C3 - LA Connections EBR'!I64</f>
        <v>-33675.700382405303</v>
      </c>
      <c r="T67" s="315">
        <f t="shared" si="19"/>
        <v>-59867.911790942759</v>
      </c>
      <c r="U67" s="552">
        <f t="shared" si="20"/>
        <v>13485247</v>
      </c>
      <c r="V67" s="311">
        <f t="shared" si="16"/>
        <v>1123771</v>
      </c>
      <c r="W67" s="311">
        <f>'Table 4A Stipends'!G64</f>
        <v>0</v>
      </c>
      <c r="X67" s="311">
        <f t="shared" si="17"/>
        <v>13485247</v>
      </c>
      <c r="Y67" s="1254"/>
      <c r="Z67" s="1257"/>
      <c r="AA67" s="1260"/>
      <c r="AB67">
        <v>36</v>
      </c>
      <c r="AC67" s="1203" t="e">
        <f>(#REF!*'Table 3 Levels 1&amp;2'!AP68)+'Table 2_State Distrib and Adjs'!F67</f>
        <v>#REF!</v>
      </c>
      <c r="AD67" s="744" t="e">
        <f t="shared" si="21"/>
        <v>#REF!</v>
      </c>
      <c r="AE67" s="284" t="e">
        <f t="shared" si="22"/>
        <v>#REF!</v>
      </c>
    </row>
    <row r="68" spans="1:31">
      <c r="A68" s="99">
        <v>62</v>
      </c>
      <c r="B68" s="302" t="s">
        <v>153</v>
      </c>
      <c r="C68" s="311">
        <f>'Table 3 Levels 1&amp;2'!AO69</f>
        <v>12984172.720080001</v>
      </c>
      <c r="D68" s="358">
        <f>'[1]Adjusted Amounts'!C68</f>
        <v>0</v>
      </c>
      <c r="E68" s="358">
        <f>'[2]Adjusted Amounts'!H68</f>
        <v>0</v>
      </c>
      <c r="F68" s="358">
        <f t="shared" si="14"/>
        <v>0</v>
      </c>
      <c r="G68" s="311">
        <f t="shared" si="10"/>
        <v>0</v>
      </c>
      <c r="H68" s="358">
        <f t="shared" si="15"/>
        <v>0</v>
      </c>
      <c r="I68" s="358"/>
      <c r="J68" s="358">
        <f>-'Table 5C1A-Madison Prep'!H68</f>
        <v>0</v>
      </c>
      <c r="K68" s="358">
        <f>-'Table 5C1B-DArbonne'!H68</f>
        <v>0</v>
      </c>
      <c r="L68" s="358">
        <f>-'Table 5C1C-Intl_VIBE'!H68</f>
        <v>0</v>
      </c>
      <c r="M68" s="358">
        <f>-'Table 5C1D-NOMMA'!H68</f>
        <v>0</v>
      </c>
      <c r="N68" s="358">
        <f>-'Table 5C1E-LFNO'!H68</f>
        <v>0</v>
      </c>
      <c r="O68" s="358">
        <f>-'Table 5C1F-Lake Charles Charter'!H68</f>
        <v>0</v>
      </c>
      <c r="P68" s="358">
        <f>-'Table 5C1G-JS Clark Academy'!H68</f>
        <v>0</v>
      </c>
      <c r="Q68" s="358">
        <f>-'Table 5C1H-Southwest LA Charter'!H68</f>
        <v>0</v>
      </c>
      <c r="R68" s="315">
        <f>-('Table 5C2 - LA Virtual Admy'!H65+'Table 5C2 - LA Virtual Admy'!I65)</f>
        <v>-6168.2530736722092</v>
      </c>
      <c r="S68" s="315">
        <f>-'Table 5C3 - LA Connections EBR'!H65-'Table 5C3 - LA Connections EBR'!I65</f>
        <v>-6168.2530736722092</v>
      </c>
      <c r="T68" s="315">
        <f t="shared" si="19"/>
        <v>-12336.506147344418</v>
      </c>
      <c r="U68" s="552">
        <f t="shared" si="20"/>
        <v>12971836</v>
      </c>
      <c r="V68" s="311">
        <f t="shared" si="16"/>
        <v>1080986</v>
      </c>
      <c r="W68" s="311">
        <f>'Table 4A Stipends'!G65</f>
        <v>0</v>
      </c>
      <c r="X68" s="311">
        <f t="shared" si="17"/>
        <v>12971836</v>
      </c>
      <c r="Y68" s="1254"/>
      <c r="Z68" s="1257"/>
      <c r="AA68" s="1260"/>
      <c r="AB68">
        <v>37</v>
      </c>
      <c r="AC68" s="1203" t="e">
        <f>(#REF!*'Table 3 Levels 1&amp;2'!AP69)+'Table 2_State Distrib and Adjs'!F68</f>
        <v>#REF!</v>
      </c>
      <c r="AD68" s="744" t="e">
        <f t="shared" si="21"/>
        <v>#REF!</v>
      </c>
      <c r="AE68" s="284" t="e">
        <f t="shared" si="22"/>
        <v>#REF!</v>
      </c>
    </row>
    <row r="69" spans="1:31">
      <c r="A69" s="99">
        <v>63</v>
      </c>
      <c r="B69" s="302" t="s">
        <v>154</v>
      </c>
      <c r="C69" s="311">
        <f>'Table 3 Levels 1&amp;2'!AO70</f>
        <v>10432706.9562656</v>
      </c>
      <c r="D69" s="358">
        <f>'[1]Adjusted Amounts'!C69</f>
        <v>0</v>
      </c>
      <c r="E69" s="358">
        <f>'[2]Adjusted Amounts'!H69</f>
        <v>0</v>
      </c>
      <c r="F69" s="358">
        <f t="shared" si="14"/>
        <v>0</v>
      </c>
      <c r="G69" s="311">
        <f t="shared" si="10"/>
        <v>0</v>
      </c>
      <c r="H69" s="358">
        <f t="shared" si="15"/>
        <v>0</v>
      </c>
      <c r="I69" s="358"/>
      <c r="J69" s="358">
        <f>-'Table 5C1A-Madison Prep'!H69</f>
        <v>0</v>
      </c>
      <c r="K69" s="358">
        <f>-'Table 5C1B-DArbonne'!H69</f>
        <v>0</v>
      </c>
      <c r="L69" s="358">
        <f>-'Table 5C1C-Intl_VIBE'!H69</f>
        <v>0</v>
      </c>
      <c r="M69" s="358">
        <f>-'Table 5C1D-NOMMA'!H69</f>
        <v>0</v>
      </c>
      <c r="N69" s="358">
        <f>-'Table 5C1E-LFNO'!H69</f>
        <v>0</v>
      </c>
      <c r="O69" s="358">
        <f>-'Table 5C1F-Lake Charles Charter'!H69</f>
        <v>0</v>
      </c>
      <c r="P69" s="358">
        <f>-'Table 5C1G-JS Clark Academy'!H69</f>
        <v>0</v>
      </c>
      <c r="Q69" s="358">
        <f>-'Table 5C1H-Southwest LA Charter'!H69</f>
        <v>0</v>
      </c>
      <c r="R69" s="315">
        <f>-('Table 5C2 - LA Virtual Admy'!H66+'Table 5C2 - LA Virtual Admy'!I66)</f>
        <v>0</v>
      </c>
      <c r="S69" s="315">
        <f>-'Table 5C3 - LA Connections EBR'!H66-'Table 5C3 - LA Connections EBR'!I66</f>
        <v>-5119.0907538104029</v>
      </c>
      <c r="T69" s="315">
        <f t="shared" si="19"/>
        <v>-5119.0907538104029</v>
      </c>
      <c r="U69" s="552">
        <f t="shared" si="20"/>
        <v>10427588</v>
      </c>
      <c r="V69" s="311">
        <f t="shared" si="16"/>
        <v>868966</v>
      </c>
      <c r="W69" s="311">
        <f>'Table 4A Stipends'!G66</f>
        <v>0</v>
      </c>
      <c r="X69" s="311">
        <f t="shared" si="17"/>
        <v>10427588</v>
      </c>
      <c r="Y69" s="1254"/>
      <c r="Z69" s="1257"/>
      <c r="AA69" s="1260"/>
      <c r="AB69">
        <v>38</v>
      </c>
      <c r="AC69" s="1203" t="e">
        <f>(#REF!*'Table 3 Levels 1&amp;2'!AP70)+'Table 2_State Distrib and Adjs'!F69</f>
        <v>#REF!</v>
      </c>
      <c r="AD69" s="744" t="e">
        <f t="shared" si="21"/>
        <v>#REF!</v>
      </c>
      <c r="AE69" s="284" t="e">
        <f t="shared" si="22"/>
        <v>#REF!</v>
      </c>
    </row>
    <row r="70" spans="1:31">
      <c r="A70" s="99">
        <v>64</v>
      </c>
      <c r="B70" s="302" t="s">
        <v>155</v>
      </c>
      <c r="C70" s="311">
        <f>'Table 3 Levels 1&amp;2'!AO71</f>
        <v>15700664.317651998</v>
      </c>
      <c r="D70" s="358">
        <f>'[1]Adjusted Amounts'!C70</f>
        <v>-3224.822370386988</v>
      </c>
      <c r="E70" s="358">
        <f>'[2]Adjusted Amounts'!H70</f>
        <v>-3573.7704120406524</v>
      </c>
      <c r="F70" s="358">
        <f t="shared" si="14"/>
        <v>-6798.5927824276405</v>
      </c>
      <c r="G70" s="311">
        <f t="shared" si="10"/>
        <v>0</v>
      </c>
      <c r="H70" s="358">
        <f t="shared" si="15"/>
        <v>-6798.5927824276405</v>
      </c>
      <c r="I70" s="358"/>
      <c r="J70" s="358">
        <f>-'Table 5C1A-Madison Prep'!H70</f>
        <v>0</v>
      </c>
      <c r="K70" s="358">
        <f>-'Table 5C1B-DArbonne'!H70</f>
        <v>0</v>
      </c>
      <c r="L70" s="358">
        <f>-'Table 5C1C-Intl_VIBE'!H70</f>
        <v>0</v>
      </c>
      <c r="M70" s="358">
        <f>-'Table 5C1D-NOMMA'!H70</f>
        <v>0</v>
      </c>
      <c r="N70" s="358">
        <f>-'Table 5C1E-LFNO'!H70</f>
        <v>0</v>
      </c>
      <c r="O70" s="358">
        <f>-'Table 5C1F-Lake Charles Charter'!H70</f>
        <v>0</v>
      </c>
      <c r="P70" s="358">
        <f>-'Table 5C1G-JS Clark Academy'!H70</f>
        <v>0</v>
      </c>
      <c r="Q70" s="358">
        <f>-'Table 5C1H-Southwest LA Charter'!H70</f>
        <v>0</v>
      </c>
      <c r="R70" s="315">
        <f>-('Table 5C2 - LA Virtual Admy'!H67+'Table 5C2 - LA Virtual Admy'!I67)</f>
        <v>-6552.8649072003336</v>
      </c>
      <c r="S70" s="315">
        <f>-'Table 5C3 - LA Connections EBR'!H67-'Table 5C3 - LA Connections EBR'!I67</f>
        <v>-26211.459628801334</v>
      </c>
      <c r="T70" s="315">
        <f t="shared" si="19"/>
        <v>-32764.324536001666</v>
      </c>
      <c r="U70" s="552">
        <f t="shared" si="20"/>
        <v>15661101</v>
      </c>
      <c r="V70" s="311">
        <f t="shared" si="16"/>
        <v>1305092</v>
      </c>
      <c r="W70" s="311">
        <f>'Table 4A Stipends'!G67</f>
        <v>0</v>
      </c>
      <c r="X70" s="311">
        <f t="shared" si="17"/>
        <v>15661101</v>
      </c>
      <c r="Y70" s="1254"/>
      <c r="Z70" s="1257"/>
      <c r="AA70" s="1257"/>
      <c r="AC70" s="1203" t="e">
        <f>(#REF!*'Table 3 Levels 1&amp;2'!AP71)+'Table 2_State Distrib and Adjs'!F70</f>
        <v>#REF!</v>
      </c>
      <c r="AD70" s="744" t="e">
        <f t="shared" si="21"/>
        <v>#REF!</v>
      </c>
      <c r="AE70" s="284" t="e">
        <f t="shared" si="22"/>
        <v>#REF!</v>
      </c>
    </row>
    <row r="71" spans="1:31">
      <c r="A71" s="100">
        <v>65</v>
      </c>
      <c r="B71" s="303" t="s">
        <v>156</v>
      </c>
      <c r="C71" s="319">
        <f>'Table 3 Levels 1&amp;2'!AO72</f>
        <v>44597643.561141767</v>
      </c>
      <c r="D71" s="359">
        <f>'[1]Adjusted Amounts'!C71</f>
        <v>10676.329014573741</v>
      </c>
      <c r="E71" s="359">
        <f>'[2]Adjusted Amounts'!H71</f>
        <v>0</v>
      </c>
      <c r="F71" s="359">
        <f t="shared" si="14"/>
        <v>10676.329014573741</v>
      </c>
      <c r="G71" s="319">
        <f>IF(F71&gt;0,F71,0)</f>
        <v>10676.329014573741</v>
      </c>
      <c r="H71" s="359">
        <f t="shared" si="15"/>
        <v>0</v>
      </c>
      <c r="I71" s="359"/>
      <c r="J71" s="359">
        <f>-'Table 5C1A-Madison Prep'!H71</f>
        <v>0</v>
      </c>
      <c r="K71" s="359">
        <f>-'Table 5C1B-DArbonne'!H71</f>
        <v>-16225.191690932003</v>
      </c>
      <c r="L71" s="359">
        <f>-'Table 5C1C-Intl_VIBE'!H71</f>
        <v>0</v>
      </c>
      <c r="M71" s="359">
        <f>-'Table 5C1D-NOMMA'!H71</f>
        <v>0</v>
      </c>
      <c r="N71" s="359">
        <f>-'Table 5C1E-LFNO'!H71</f>
        <v>0</v>
      </c>
      <c r="O71" s="359">
        <f>-'Table 5C1F-Lake Charles Charter'!H71</f>
        <v>0</v>
      </c>
      <c r="P71" s="359">
        <f>-'Table 5C1G-JS Clark Academy'!H71</f>
        <v>0</v>
      </c>
      <c r="Q71" s="359">
        <f>-'Table 5C1H-Southwest LA Charter'!H71</f>
        <v>0</v>
      </c>
      <c r="R71" s="321">
        <f>-('Table 5C2 - LA Virtual Admy'!H68+'Table 5C2 - LA Virtual Admy'!I68)</f>
        <v>0</v>
      </c>
      <c r="S71" s="321">
        <f>-'Table 5C3 - LA Connections EBR'!H68-'Table 5C3 - LA Connections EBR'!I68</f>
        <v>-21633.58892124267</v>
      </c>
      <c r="T71" s="321">
        <f t="shared" ref="T71:T75" si="23">SUM(I71:S71)</f>
        <v>-37858.780612174669</v>
      </c>
      <c r="U71" s="553">
        <f t="shared" ref="U71:U75" si="24">ROUND(C71+F71+T71,0)</f>
        <v>44570461</v>
      </c>
      <c r="V71" s="319">
        <f t="shared" si="16"/>
        <v>3714205</v>
      </c>
      <c r="W71" s="319">
        <f>'Table 4A Stipends'!G68</f>
        <v>0</v>
      </c>
      <c r="X71" s="319">
        <f t="shared" si="17"/>
        <v>44570461</v>
      </c>
      <c r="Y71" s="1254"/>
      <c r="Z71" s="1257"/>
      <c r="AA71" s="1260"/>
      <c r="AB71">
        <v>39</v>
      </c>
      <c r="AC71" s="1203" t="e">
        <f>(#REF!*'Table 3 Levels 1&amp;2'!AP72)+'Table 2_State Distrib and Adjs'!F71</f>
        <v>#REF!</v>
      </c>
      <c r="AD71" s="744" t="e">
        <f t="shared" ref="AD71:AD75" si="25">U71-AC71</f>
        <v>#REF!</v>
      </c>
      <c r="AE71" s="284" t="e">
        <f t="shared" si="22"/>
        <v>#REF!</v>
      </c>
    </row>
    <row r="72" spans="1:31">
      <c r="A72" s="134">
        <v>66</v>
      </c>
      <c r="B72" s="304" t="s">
        <v>157</v>
      </c>
      <c r="C72" s="313">
        <f>'Table 3 Levels 1&amp;2'!AO73</f>
        <v>14379263.409632001</v>
      </c>
      <c r="D72" s="360">
        <f>'[1]Adjusted Amounts'!C72</f>
        <v>0</v>
      </c>
      <c r="E72" s="360">
        <f>'[2]Adjusted Amounts'!H72</f>
        <v>-5196.0756379680797</v>
      </c>
      <c r="F72" s="360">
        <f>SUM(D72:E72)</f>
        <v>-5196.0756379680797</v>
      </c>
      <c r="G72" s="313">
        <f>IF(F72&gt;0,F72,0)</f>
        <v>0</v>
      </c>
      <c r="H72" s="360">
        <f>IF(F72&lt;0,F72,0)</f>
        <v>-5196.0756379680797</v>
      </c>
      <c r="I72" s="360"/>
      <c r="J72" s="360">
        <f>-'Table 5C1A-Madison Prep'!H72</f>
        <v>0</v>
      </c>
      <c r="K72" s="360">
        <f>-'Table 5C1B-DArbonne'!H72</f>
        <v>0</v>
      </c>
      <c r="L72" s="360">
        <f>-'Table 5C1C-Intl_VIBE'!H72</f>
        <v>0</v>
      </c>
      <c r="M72" s="360">
        <f>-'Table 5C1D-NOMMA'!H72</f>
        <v>0</v>
      </c>
      <c r="N72" s="360">
        <f>-'Table 5C1E-LFNO'!H72</f>
        <v>0</v>
      </c>
      <c r="O72" s="360">
        <f>-'Table 5C1F-Lake Charles Charter'!H72</f>
        <v>0</v>
      </c>
      <c r="P72" s="360">
        <f>-'Table 5C1G-JS Clark Academy'!H72</f>
        <v>0</v>
      </c>
      <c r="Q72" s="360">
        <f>-'Table 5C1H-Southwest LA Charter'!H72</f>
        <v>0</v>
      </c>
      <c r="R72" s="597">
        <f>-('Table 5C2 - LA Virtual Admy'!H69+'Table 5C2 - LA Virtual Admy'!I69)</f>
        <v>-21302.612458714073</v>
      </c>
      <c r="S72" s="597">
        <f>-'Table 5C3 - LA Connections EBR'!H69-'Table 5C3 - LA Connections EBR'!I69</f>
        <v>-14201.741639142718</v>
      </c>
      <c r="T72" s="597">
        <f t="shared" si="23"/>
        <v>-35504.354097856791</v>
      </c>
      <c r="U72" s="554">
        <f t="shared" si="24"/>
        <v>14338563</v>
      </c>
      <c r="V72" s="313">
        <f>ROUND(U72/12,0)</f>
        <v>1194880</v>
      </c>
      <c r="W72" s="313">
        <f>'Table 4A Stipends'!G69</f>
        <v>0</v>
      </c>
      <c r="X72" s="313">
        <f t="shared" ref="X72:X75" si="26">U72+W72</f>
        <v>14338563</v>
      </c>
      <c r="Y72" s="1254"/>
      <c r="Z72" s="1257"/>
      <c r="AA72" s="1260"/>
      <c r="AB72">
        <v>40</v>
      </c>
      <c r="AC72" s="1203" t="e">
        <f>(#REF!*'Table 3 Levels 1&amp;2'!AP73)+'Table 2_State Distrib and Adjs'!F72</f>
        <v>#REF!</v>
      </c>
      <c r="AD72" s="744" t="e">
        <f t="shared" si="25"/>
        <v>#REF!</v>
      </c>
      <c r="AE72" s="284" t="e">
        <f t="shared" si="22"/>
        <v>#REF!</v>
      </c>
    </row>
    <row r="73" spans="1:31">
      <c r="A73" s="350">
        <v>67</v>
      </c>
      <c r="B73" s="305" t="s">
        <v>32</v>
      </c>
      <c r="C73" s="311">
        <f>'Table 3 Levels 1&amp;2'!AO74</f>
        <v>28891441.643387765</v>
      </c>
      <c r="D73" s="358">
        <f>'[1]Adjusted Amounts'!C73</f>
        <v>0</v>
      </c>
      <c r="E73" s="358">
        <f>'[2]Adjusted Amounts'!H73</f>
        <v>0</v>
      </c>
      <c r="F73" s="358">
        <f>SUM(D73:E73)</f>
        <v>0</v>
      </c>
      <c r="G73" s="311">
        <f>IF(F73&gt;0,F73,0)</f>
        <v>0</v>
      </c>
      <c r="H73" s="358">
        <f>IF(F73&lt;0,F73,0)</f>
        <v>0</v>
      </c>
      <c r="I73" s="358"/>
      <c r="J73" s="358">
        <f>-'Table 5C1A-Madison Prep'!H73</f>
        <v>-11334.421986421248</v>
      </c>
      <c r="K73" s="358">
        <f>-'Table 5C1B-DArbonne'!H73</f>
        <v>0</v>
      </c>
      <c r="L73" s="358">
        <f>-'Table 5C1C-Intl_VIBE'!H73</f>
        <v>0</v>
      </c>
      <c r="M73" s="358">
        <f>-'Table 5C1D-NOMMA'!H73</f>
        <v>0</v>
      </c>
      <c r="N73" s="358">
        <f>-'Table 5C1E-LFNO'!H73</f>
        <v>0</v>
      </c>
      <c r="O73" s="358">
        <f>-'Table 5C1F-Lake Charles Charter'!H73</f>
        <v>0</v>
      </c>
      <c r="P73" s="358">
        <f>-'Table 5C1G-JS Clark Academy'!H73</f>
        <v>0</v>
      </c>
      <c r="Q73" s="358">
        <f>-'Table 5C1H-Southwest LA Charter'!H73</f>
        <v>0</v>
      </c>
      <c r="R73" s="315">
        <f>-('Table 5C2 - LA Virtual Admy'!H70+'Table 5C2 - LA Virtual Admy'!I70)</f>
        <v>-5667.2109932106241</v>
      </c>
      <c r="S73" s="315">
        <f>-'Table 5C3 - LA Connections EBR'!H70-'Table 5C3 - LA Connections EBR'!I70</f>
        <v>-17001.632979631875</v>
      </c>
      <c r="T73" s="315">
        <f t="shared" si="23"/>
        <v>-34003.26595926375</v>
      </c>
      <c r="U73" s="552">
        <f t="shared" si="24"/>
        <v>28857438</v>
      </c>
      <c r="V73" s="311">
        <f>ROUND(U73/12,0)</f>
        <v>2404787</v>
      </c>
      <c r="W73" s="311">
        <f>'Table 4A Stipends'!G70</f>
        <v>0</v>
      </c>
      <c r="X73" s="311">
        <f t="shared" si="26"/>
        <v>28857438</v>
      </c>
      <c r="Y73" s="1254"/>
      <c r="Z73" s="1257"/>
      <c r="AA73" s="1257"/>
      <c r="AC73" s="1203" t="e">
        <f>(#REF!*'Table 3 Levels 1&amp;2'!AP74)+'Table 2_State Distrib and Adjs'!F73</f>
        <v>#REF!</v>
      </c>
      <c r="AD73" s="744" t="e">
        <f t="shared" si="25"/>
        <v>#REF!</v>
      </c>
      <c r="AE73" s="284" t="e">
        <f t="shared" si="22"/>
        <v>#REF!</v>
      </c>
    </row>
    <row r="74" spans="1:31">
      <c r="A74" s="99">
        <v>68</v>
      </c>
      <c r="B74" s="302" t="s">
        <v>30</v>
      </c>
      <c r="C74" s="311">
        <f>'Table 3 Levels 1&amp;2'!AO75</f>
        <v>11785360.942956001</v>
      </c>
      <c r="D74" s="358">
        <f>'[1]Adjusted Amounts'!C74</f>
        <v>-3327.7966920532344</v>
      </c>
      <c r="E74" s="358">
        <f>'[2]Adjusted Amounts'!H74</f>
        <v>45117.573358364345</v>
      </c>
      <c r="F74" s="358">
        <f>SUM(D74:E74)</f>
        <v>41789.776666311111</v>
      </c>
      <c r="G74" s="311">
        <f>IF(F74&gt;0,F74,0)</f>
        <v>41789.776666311111</v>
      </c>
      <c r="H74" s="358">
        <f>IF(F74&lt;0,F74,0)</f>
        <v>0</v>
      </c>
      <c r="I74" s="358"/>
      <c r="J74" s="358">
        <f>-'Table 5C1A-Madison Prep'!H74</f>
        <v>-27503.759493479578</v>
      </c>
      <c r="K74" s="358">
        <f>-'Table 5C1B-DArbonne'!H74</f>
        <v>0</v>
      </c>
      <c r="L74" s="358">
        <f>-'Table 5C1C-Intl_VIBE'!H74</f>
        <v>0</v>
      </c>
      <c r="M74" s="358">
        <f>-'Table 5C1D-NOMMA'!H74</f>
        <v>0</v>
      </c>
      <c r="N74" s="358">
        <f>-'Table 5C1E-LFNO'!H74</f>
        <v>0</v>
      </c>
      <c r="O74" s="358">
        <f>-'Table 5C1F-Lake Charles Charter'!H74</f>
        <v>0</v>
      </c>
      <c r="P74" s="358">
        <f>-'Table 5C1G-JS Clark Academy'!H74</f>
        <v>0</v>
      </c>
      <c r="Q74" s="358">
        <f>-'Table 5C1H-Southwest LA Charter'!H74</f>
        <v>0</v>
      </c>
      <c r="R74" s="315">
        <f>-('Table 5C2 - LA Virtual Admy'!H71+'Table 5C2 - LA Virtual Admy'!I71)</f>
        <v>-20627.819620109683</v>
      </c>
      <c r="S74" s="315">
        <f>-'Table 5C3 - LA Connections EBR'!H71-'Table 5C3 - LA Connections EBR'!I71</f>
        <v>-75635.338607068843</v>
      </c>
      <c r="T74" s="315">
        <f t="shared" si="23"/>
        <v>-123766.91772065811</v>
      </c>
      <c r="U74" s="552">
        <f t="shared" si="24"/>
        <v>11703384</v>
      </c>
      <c r="V74" s="311">
        <f>ROUND(U74/12,0)</f>
        <v>975282</v>
      </c>
      <c r="W74" s="311">
        <f>'Table 4A Stipends'!G71</f>
        <v>0</v>
      </c>
      <c r="X74" s="311">
        <f t="shared" si="26"/>
        <v>11703384</v>
      </c>
      <c r="Y74" s="1254"/>
      <c r="Z74" s="1257"/>
      <c r="AA74" s="1257"/>
      <c r="AC74" s="1203" t="e">
        <f>(#REF!*'Table 3 Levels 1&amp;2'!AP75)+'Table 2_State Distrib and Adjs'!F74</f>
        <v>#REF!</v>
      </c>
      <c r="AD74" s="744" t="e">
        <f t="shared" si="25"/>
        <v>#REF!</v>
      </c>
      <c r="AE74" s="284" t="e">
        <f t="shared" si="22"/>
        <v>#REF!</v>
      </c>
    </row>
    <row r="75" spans="1:31">
      <c r="A75" s="100">
        <v>69</v>
      </c>
      <c r="B75" s="303" t="s">
        <v>208</v>
      </c>
      <c r="C75" s="319">
        <f>'Table 3 Levels 1&amp;2'!AO76</f>
        <v>26380239.837633681</v>
      </c>
      <c r="D75" s="359">
        <f>'[1]Adjusted Amounts'!C75</f>
        <v>0</v>
      </c>
      <c r="E75" s="359">
        <f>'[2]Adjusted Amounts'!H75</f>
        <v>351</v>
      </c>
      <c r="F75" s="359">
        <f>SUM(D75:E75)</f>
        <v>351</v>
      </c>
      <c r="G75" s="319">
        <f>IF(F75&gt;0,F75,0)</f>
        <v>351</v>
      </c>
      <c r="H75" s="359">
        <f>IF(F75&lt;0,F75,0)</f>
        <v>0</v>
      </c>
      <c r="I75" s="359"/>
      <c r="J75" s="359">
        <f>-'Table 5C1A-Madison Prep'!H75</f>
        <v>0</v>
      </c>
      <c r="K75" s="359">
        <f>-'Table 5C1B-DArbonne'!H75</f>
        <v>0</v>
      </c>
      <c r="L75" s="359">
        <f>-'Table 5C1C-Intl_VIBE'!H75</f>
        <v>0</v>
      </c>
      <c r="M75" s="359">
        <f>-'Table 5C1D-NOMMA'!H75</f>
        <v>0</v>
      </c>
      <c r="N75" s="359">
        <f>-'Table 5C1E-LFNO'!H75</f>
        <v>0</v>
      </c>
      <c r="O75" s="359">
        <f>-'Table 5C1F-Lake Charles Charter'!H75</f>
        <v>0</v>
      </c>
      <c r="P75" s="359">
        <f>-'Table 5C1G-JS Clark Academy'!H75</f>
        <v>0</v>
      </c>
      <c r="Q75" s="359">
        <f>-'Table 5C1H-Southwest LA Charter'!H75</f>
        <v>0</v>
      </c>
      <c r="R75" s="321">
        <f>-('Table 5C2 - LA Virtual Admy'!H72+'Table 5C2 - LA Virtual Admy'!I72)</f>
        <v>-44040.467174680598</v>
      </c>
      <c r="S75" s="321">
        <f>-'Table 5C3 - LA Connections EBR'!H72-'Table 5C3 - LA Connections EBR'!I72</f>
        <v>-12582.990621337316</v>
      </c>
      <c r="T75" s="321">
        <f t="shared" si="23"/>
        <v>-56623.457796017916</v>
      </c>
      <c r="U75" s="553">
        <f t="shared" si="24"/>
        <v>26323967</v>
      </c>
      <c r="V75" s="319">
        <f>ROUND(U75/12,0)</f>
        <v>2193664</v>
      </c>
      <c r="W75" s="319">
        <f>'Table 4A Stipends'!G72</f>
        <v>0</v>
      </c>
      <c r="X75" s="319">
        <f t="shared" si="26"/>
        <v>26323967</v>
      </c>
      <c r="Y75" s="1254"/>
      <c r="Z75" s="1257"/>
      <c r="AA75" s="1257"/>
      <c r="AC75" s="1203" t="e">
        <f>(#REF!*'Table 3 Levels 1&amp;2'!AP76)+'Table 2_State Distrib and Adjs'!F75</f>
        <v>#REF!</v>
      </c>
      <c r="AD75" s="744" t="e">
        <f t="shared" si="25"/>
        <v>#REF!</v>
      </c>
      <c r="AE75" s="284" t="e">
        <f t="shared" si="22"/>
        <v>#REF!</v>
      </c>
    </row>
    <row r="76" spans="1:31" ht="13.5" thickBot="1">
      <c r="A76" s="413"/>
      <c r="B76" s="414" t="s">
        <v>158</v>
      </c>
      <c r="C76" s="421">
        <f t="shared" ref="C76:V76" si="27">SUM(C7:C75)</f>
        <v>3410191019.1272569</v>
      </c>
      <c r="D76" s="421">
        <f>SUM(D7:D75)</f>
        <v>-211447.2513803934</v>
      </c>
      <c r="E76" s="421">
        <f>SUM(E7:E75)</f>
        <v>-2180797.8413214996</v>
      </c>
      <c r="F76" s="421">
        <f>SUM(F7:F75)</f>
        <v>-2392245.0927018928</v>
      </c>
      <c r="G76" s="421">
        <f t="shared" si="27"/>
        <v>193264.92490236161</v>
      </c>
      <c r="H76" s="421">
        <f t="shared" si="27"/>
        <v>-2585510.0176042542</v>
      </c>
      <c r="I76" s="421">
        <f t="shared" si="27"/>
        <v>-139045412.87759763</v>
      </c>
      <c r="J76" s="421">
        <f t="shared" si="27"/>
        <v>-890176.04259362351</v>
      </c>
      <c r="K76" s="421">
        <f t="shared" si="27"/>
        <v>-3057121.8810964641</v>
      </c>
      <c r="L76" s="421">
        <f t="shared" si="27"/>
        <v>-1891507.2659228423</v>
      </c>
      <c r="M76" s="421">
        <f t="shared" si="27"/>
        <v>-932953.61993622442</v>
      </c>
      <c r="N76" s="421">
        <f t="shared" si="27"/>
        <v>-853703.47523055237</v>
      </c>
      <c r="O76" s="421">
        <f t="shared" si="27"/>
        <v>-3670536.7367339297</v>
      </c>
      <c r="P76" s="421">
        <f t="shared" si="27"/>
        <v>-907519.49536840199</v>
      </c>
      <c r="Q76" s="421">
        <f t="shared" si="27"/>
        <v>-2593627.3683872102</v>
      </c>
      <c r="R76" s="421">
        <f>SUM(R7:R75)</f>
        <v>-5808055.8921853332</v>
      </c>
      <c r="S76" s="421">
        <f t="shared" si="27"/>
        <v>-6172356.3299757326</v>
      </c>
      <c r="T76" s="421">
        <f t="shared" si="27"/>
        <v>-165822970.98502794</v>
      </c>
      <c r="U76" s="419">
        <f>SUM(U7:U75)</f>
        <v>3241975800</v>
      </c>
      <c r="V76" s="421">
        <f t="shared" si="27"/>
        <v>270164652</v>
      </c>
      <c r="W76" s="421">
        <f>SUM(W7:W75)</f>
        <v>464000</v>
      </c>
      <c r="X76" s="421">
        <f>SUM(X7:X75)</f>
        <v>3242439800</v>
      </c>
      <c r="Y76" s="782"/>
      <c r="Z76" s="1867"/>
      <c r="AA76" s="1259"/>
    </row>
    <row r="77" spans="1:31" ht="13.5" thickTop="1">
      <c r="F77" s="49">
        <f>SUM(D76:E76)</f>
        <v>-2392245.0927018928</v>
      </c>
      <c r="I77" t="s">
        <v>419</v>
      </c>
      <c r="U77" s="97"/>
      <c r="X77" s="97"/>
      <c r="Y77" s="97"/>
    </row>
    <row r="79" spans="1:31" ht="17.25" customHeight="1">
      <c r="H79" s="35"/>
      <c r="I79" s="1860"/>
      <c r="J79" s="1861"/>
      <c r="K79" s="1861"/>
      <c r="L79" s="1861"/>
      <c r="M79" s="1861"/>
      <c r="N79" s="1861"/>
      <c r="O79" s="1861"/>
      <c r="P79" s="1861"/>
      <c r="Q79" s="1861"/>
      <c r="R79" s="1861"/>
      <c r="S79" s="1861"/>
      <c r="T79" s="1228"/>
      <c r="U79" s="49"/>
      <c r="X79" s="49"/>
      <c r="Y79" s="49"/>
    </row>
    <row r="80" spans="1:31" ht="32.25" customHeight="1">
      <c r="H80" s="35"/>
      <c r="I80" s="1860"/>
      <c r="J80" s="1860"/>
      <c r="K80" s="1860"/>
      <c r="L80" s="1860"/>
      <c r="M80" s="1860"/>
      <c r="N80" s="1860"/>
      <c r="O80" s="1860"/>
      <c r="P80" s="1860"/>
      <c r="Q80" s="1860"/>
      <c r="R80" s="1860"/>
      <c r="S80" s="1860"/>
      <c r="T80" s="1229"/>
    </row>
    <row r="81" spans="8:20">
      <c r="H81" s="35"/>
      <c r="I81" s="1862"/>
      <c r="J81" s="1862"/>
      <c r="K81" s="1862"/>
      <c r="L81" s="1862"/>
      <c r="M81" s="1862"/>
      <c r="N81" s="1862"/>
      <c r="O81" s="1863"/>
      <c r="P81" s="1863"/>
      <c r="Q81" s="1863"/>
      <c r="R81" s="1864"/>
      <c r="S81" s="1865"/>
      <c r="T81" s="1009"/>
    </row>
    <row r="82" spans="8:20" ht="52.5" customHeight="1">
      <c r="H82" s="35"/>
      <c r="I82" s="1866"/>
      <c r="J82" s="1866"/>
      <c r="K82" s="1866"/>
      <c r="L82" s="1866"/>
      <c r="M82" s="1866"/>
      <c r="N82" s="1866"/>
      <c r="O82" s="1866"/>
      <c r="P82" s="1866"/>
      <c r="Q82" s="1866"/>
      <c r="R82" s="1866"/>
      <c r="S82" s="1866"/>
      <c r="T82" s="1009"/>
    </row>
    <row r="83" spans="8:20">
      <c r="H83" s="35"/>
      <c r="I83" s="1862"/>
      <c r="J83" s="1862"/>
      <c r="K83" s="1862"/>
      <c r="L83" s="1862"/>
      <c r="M83" s="1862"/>
      <c r="N83" s="1862"/>
      <c r="O83" s="1862"/>
      <c r="P83" s="1862"/>
      <c r="Q83" s="1862"/>
      <c r="R83" s="1864"/>
      <c r="S83" s="1864"/>
      <c r="T83" s="1009"/>
    </row>
    <row r="84" spans="8:20">
      <c r="H84" s="35"/>
      <c r="I84" s="1862"/>
      <c r="J84" s="1862"/>
      <c r="K84" s="1862"/>
      <c r="L84" s="1862"/>
      <c r="M84" s="1862"/>
      <c r="N84" s="1862"/>
      <c r="O84" s="1862"/>
      <c r="P84" s="1862"/>
      <c r="Q84" s="1862"/>
      <c r="R84" s="1864"/>
      <c r="S84" s="1864"/>
      <c r="T84" s="1009"/>
    </row>
    <row r="85" spans="8:20">
      <c r="H85" s="35"/>
      <c r="I85" s="1862"/>
      <c r="J85" s="1862"/>
      <c r="K85" s="1862"/>
      <c r="L85" s="1862"/>
      <c r="M85" s="1862"/>
      <c r="N85" s="1862"/>
      <c r="O85" s="1862"/>
      <c r="P85" s="1862"/>
      <c r="Q85" s="1862"/>
      <c r="R85" s="1864"/>
      <c r="S85" s="1864"/>
      <c r="T85" s="1009"/>
    </row>
    <row r="86" spans="8:20"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</row>
    <row r="87" spans="8:20"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</row>
  </sheetData>
  <mergeCells count="34">
    <mergeCell ref="I82:S82"/>
    <mergeCell ref="L2:L5"/>
    <mergeCell ref="M2:M5"/>
    <mergeCell ref="N2:N5"/>
    <mergeCell ref="O2:O5"/>
    <mergeCell ref="Q2:Q5"/>
    <mergeCell ref="A2:A5"/>
    <mergeCell ref="G2:H3"/>
    <mergeCell ref="G4:G5"/>
    <mergeCell ref="H4:H5"/>
    <mergeCell ref="C2:C5"/>
    <mergeCell ref="D2:D5"/>
    <mergeCell ref="E2:E5"/>
    <mergeCell ref="F2:F5"/>
    <mergeCell ref="B2:B5"/>
    <mergeCell ref="D1:H1"/>
    <mergeCell ref="I2:I5"/>
    <mergeCell ref="U2:U5"/>
    <mergeCell ref="T2:T5"/>
    <mergeCell ref="S2:S5"/>
    <mergeCell ref="P2:P5"/>
    <mergeCell ref="J2:J5"/>
    <mergeCell ref="AF42:AZ42"/>
    <mergeCell ref="I79:S79"/>
    <mergeCell ref="I80:S80"/>
    <mergeCell ref="X2:X5"/>
    <mergeCell ref="W2:W5"/>
    <mergeCell ref="R2:R5"/>
    <mergeCell ref="K2:K5"/>
    <mergeCell ref="AC3:AE3"/>
    <mergeCell ref="AD4:AD6"/>
    <mergeCell ref="AA2:AA5"/>
    <mergeCell ref="Z2:Z5"/>
    <mergeCell ref="V2:V5"/>
  </mergeCells>
  <phoneticPr fontId="50" type="noConversion"/>
  <printOptions horizontalCentered="1"/>
  <pageMargins left="0.25" right="0.2" top="1.1399999999999999" bottom="0.49" header="0.5" footer="0.25"/>
  <pageSetup paperSize="5" scale="75" firstPageNumber="3" fitToWidth="12" orientation="portrait" useFirstPageNumber="1" r:id="rId1"/>
  <headerFooter alignWithMargins="0">
    <oddHeader xml:space="preserve">&amp;L&amp;"Arial,Bold"&amp;18Table 2:  FY2013-14 Budget Letter &amp;"Arial,Regular"&amp;10
&amp;"Arial,Bold"&amp;18Distribution and Adjustments </oddHeader>
    <oddFooter>&amp;R&amp;12&amp;P</oddFooter>
  </headerFooter>
  <colBreaks count="3" manualBreakCount="3">
    <brk id="8" max="76" man="1"/>
    <brk id="14" max="76" man="1"/>
    <brk id="20" max="76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view="pageBreakPreview" zoomScale="90" zoomScaleNormal="100" zoomScaleSheetLayoutView="90" workbookViewId="0">
      <pane xSplit="2" ySplit="6" topLeftCell="K7" activePane="bottomRight" state="frozen"/>
      <selection activeCell="B1" sqref="B1:B2"/>
      <selection pane="topRight" activeCell="B1" sqref="B1:B2"/>
      <selection pane="bottomLeft" activeCell="B1" sqref="B1:B2"/>
      <selection pane="bottomRight" activeCell="N8" sqref="N8:N76"/>
    </sheetView>
  </sheetViews>
  <sheetFormatPr defaultRowHeight="12.75"/>
  <cols>
    <col min="1" max="1" width="4.28515625" style="1077" customWidth="1"/>
    <col min="2" max="2" width="17.85546875" style="1077" bestFit="1" customWidth="1"/>
    <col min="3" max="3" width="12.7109375" style="1077" customWidth="1"/>
    <col min="4" max="4" width="17" style="1077" customWidth="1"/>
    <col min="5" max="5" width="11" style="1077" bestFit="1" customWidth="1"/>
    <col min="6" max="6" width="12" style="1077" customWidth="1"/>
    <col min="7" max="7" width="13.28515625" style="1077" customWidth="1"/>
    <col min="8" max="8" width="14.5703125" style="1077" customWidth="1"/>
    <col min="9" max="9" width="12.28515625" style="1077" customWidth="1"/>
    <col min="10" max="10" width="12" style="1077" bestFit="1" customWidth="1"/>
    <col min="11" max="11" width="13.42578125" style="1077" bestFit="1" customWidth="1"/>
    <col min="12" max="12" width="14" style="1077" customWidth="1"/>
    <col min="13" max="13" width="9.28515625" style="1077" bestFit="1" customWidth="1"/>
    <col min="14" max="14" width="17.28515625" style="1077" customWidth="1"/>
    <col min="15" max="15" width="16.7109375" style="1077" customWidth="1"/>
    <col min="16" max="16" width="13.7109375" style="1077" customWidth="1"/>
    <col min="17" max="17" width="17" style="1077" customWidth="1"/>
    <col min="18" max="18" width="15.28515625" style="1077" customWidth="1"/>
    <col min="19" max="19" width="13.140625" style="1077" customWidth="1"/>
    <col min="20" max="20" width="12" style="1077" customWidth="1"/>
    <col min="21" max="21" width="11" style="1077" customWidth="1"/>
    <col min="22" max="22" width="12.140625" style="1077" customWidth="1"/>
    <col min="23" max="16384" width="9.140625" style="1077"/>
  </cols>
  <sheetData>
    <row r="1" spans="1:22">
      <c r="C1" s="1238"/>
      <c r="D1" s="1238"/>
      <c r="E1" s="1238"/>
      <c r="F1" s="1238"/>
      <c r="G1" s="1238"/>
      <c r="H1" s="1238"/>
      <c r="I1" s="1238"/>
      <c r="J1" s="1238"/>
      <c r="K1" s="1238"/>
      <c r="L1" s="1238"/>
      <c r="M1" s="1238"/>
    </row>
    <row r="2" spans="1:22" ht="45" customHeight="1">
      <c r="A2" s="1742" t="s">
        <v>953</v>
      </c>
      <c r="B2" s="1743"/>
      <c r="C2" s="1718" t="s">
        <v>686</v>
      </c>
      <c r="D2" s="1719"/>
      <c r="E2" s="1719"/>
      <c r="F2" s="1719"/>
      <c r="G2" s="1719"/>
      <c r="H2" s="1719"/>
      <c r="I2" s="1719"/>
      <c r="J2" s="1719"/>
      <c r="K2" s="1719"/>
      <c r="L2" s="1719"/>
      <c r="M2" s="1720"/>
      <c r="N2" s="1700" t="s">
        <v>656</v>
      </c>
      <c r="O2" s="1701"/>
      <c r="P2" s="1701"/>
      <c r="Q2" s="1701"/>
      <c r="R2" s="1701"/>
      <c r="S2" s="1701"/>
      <c r="T2" s="1702"/>
      <c r="U2" s="1703" t="s">
        <v>695</v>
      </c>
      <c r="V2" s="1703" t="s">
        <v>654</v>
      </c>
    </row>
    <row r="3" spans="1:22" ht="113.25" customHeight="1">
      <c r="A3" s="1744"/>
      <c r="B3" s="1745"/>
      <c r="C3" s="1748" t="s">
        <v>589</v>
      </c>
      <c r="D3" s="1717" t="s">
        <v>744</v>
      </c>
      <c r="E3" s="1717" t="s">
        <v>687</v>
      </c>
      <c r="F3" s="1706" t="s">
        <v>501</v>
      </c>
      <c r="G3" s="1706" t="s">
        <v>445</v>
      </c>
      <c r="H3" s="1706" t="s">
        <v>688</v>
      </c>
      <c r="I3" s="1277" t="s">
        <v>456</v>
      </c>
      <c r="J3" s="1706" t="s">
        <v>689</v>
      </c>
      <c r="K3" s="1706" t="s">
        <v>967</v>
      </c>
      <c r="L3" s="1706" t="s">
        <v>690</v>
      </c>
      <c r="M3" s="1717" t="s">
        <v>655</v>
      </c>
      <c r="N3" s="1709" t="s">
        <v>527</v>
      </c>
      <c r="O3" s="1278" t="s">
        <v>691</v>
      </c>
      <c r="P3" s="1278" t="s">
        <v>457</v>
      </c>
      <c r="Q3" s="1709" t="s">
        <v>692</v>
      </c>
      <c r="R3" s="1709" t="s">
        <v>967</v>
      </c>
      <c r="S3" s="1709" t="s">
        <v>693</v>
      </c>
      <c r="T3" s="1278" t="s">
        <v>694</v>
      </c>
      <c r="U3" s="1704"/>
      <c r="V3" s="1704"/>
    </row>
    <row r="4" spans="1:22" ht="23.25" customHeight="1">
      <c r="A4" s="1746"/>
      <c r="B4" s="1747"/>
      <c r="C4" s="1749"/>
      <c r="D4" s="1717"/>
      <c r="E4" s="1717"/>
      <c r="F4" s="1707"/>
      <c r="G4" s="1707"/>
      <c r="H4" s="1707"/>
      <c r="I4" s="1018">
        <v>2.5000000000000001E-3</v>
      </c>
      <c r="J4" s="1707"/>
      <c r="K4" s="1707"/>
      <c r="L4" s="1707"/>
      <c r="M4" s="1717"/>
      <c r="N4" s="1710"/>
      <c r="O4" s="1276"/>
      <c r="P4" s="1019">
        <v>2.5000000000000001E-3</v>
      </c>
      <c r="Q4" s="1710"/>
      <c r="R4" s="1710"/>
      <c r="S4" s="1710"/>
      <c r="T4" s="1276"/>
      <c r="U4" s="1705"/>
      <c r="V4" s="1705"/>
    </row>
    <row r="5" spans="1:22" ht="14.25" customHeight="1">
      <c r="A5" s="950"/>
      <c r="B5" s="951"/>
      <c r="C5" s="952">
        <v>1</v>
      </c>
      <c r="D5" s="952">
        <f t="shared" ref="D5" si="0">C5+1</f>
        <v>2</v>
      </c>
      <c r="E5" s="952">
        <f>D5+1</f>
        <v>3</v>
      </c>
      <c r="F5" s="952">
        <f t="shared" ref="F5:V5" si="1">E5+1</f>
        <v>4</v>
      </c>
      <c r="G5" s="952">
        <f t="shared" si="1"/>
        <v>5</v>
      </c>
      <c r="H5" s="952">
        <f t="shared" si="1"/>
        <v>6</v>
      </c>
      <c r="I5" s="952">
        <f t="shared" si="1"/>
        <v>7</v>
      </c>
      <c r="J5" s="952">
        <f t="shared" si="1"/>
        <v>8</v>
      </c>
      <c r="K5" s="952">
        <f t="shared" si="1"/>
        <v>9</v>
      </c>
      <c r="L5" s="952">
        <f t="shared" si="1"/>
        <v>10</v>
      </c>
      <c r="M5" s="952">
        <f t="shared" si="1"/>
        <v>11</v>
      </c>
      <c r="N5" s="952">
        <f t="shared" si="1"/>
        <v>12</v>
      </c>
      <c r="O5" s="952">
        <f t="shared" si="1"/>
        <v>13</v>
      </c>
      <c r="P5" s="952">
        <f t="shared" si="1"/>
        <v>14</v>
      </c>
      <c r="Q5" s="952">
        <f t="shared" si="1"/>
        <v>15</v>
      </c>
      <c r="R5" s="952">
        <f t="shared" si="1"/>
        <v>16</v>
      </c>
      <c r="S5" s="952">
        <f t="shared" si="1"/>
        <v>17</v>
      </c>
      <c r="T5" s="952">
        <f t="shared" si="1"/>
        <v>18</v>
      </c>
      <c r="U5" s="952">
        <f t="shared" si="1"/>
        <v>19</v>
      </c>
      <c r="V5" s="952">
        <f t="shared" si="1"/>
        <v>20</v>
      </c>
    </row>
    <row r="6" spans="1:22" ht="27" customHeight="1">
      <c r="A6" s="979"/>
      <c r="B6" s="980"/>
      <c r="C6" s="980"/>
      <c r="D6" s="980"/>
      <c r="E6" s="980"/>
      <c r="F6" s="980"/>
      <c r="G6" s="980"/>
      <c r="H6" s="980"/>
      <c r="I6" s="980"/>
      <c r="J6" s="980"/>
      <c r="K6" s="980"/>
      <c r="L6" s="980"/>
      <c r="M6" s="980"/>
      <c r="N6" s="980"/>
      <c r="O6" s="980"/>
      <c r="P6" s="980"/>
      <c r="Q6" s="980"/>
      <c r="R6" s="980"/>
      <c r="S6" s="980"/>
      <c r="T6" s="980"/>
      <c r="U6" s="980"/>
      <c r="V6" s="980"/>
    </row>
    <row r="7" spans="1:22">
      <c r="A7" s="953">
        <v>1</v>
      </c>
      <c r="B7" s="954" t="s">
        <v>93</v>
      </c>
      <c r="C7" s="1080">
        <v>0</v>
      </c>
      <c r="D7" s="956">
        <f>'Table 3 Levels 1&amp;2'!AL8</f>
        <v>4597.5882673899441</v>
      </c>
      <c r="E7" s="1010">
        <f>C7*D7</f>
        <v>0</v>
      </c>
      <c r="F7" s="1010">
        <f>'Table 4 Level 3'!P6</f>
        <v>777.48</v>
      </c>
      <c r="G7" s="1010">
        <f>C7*F7</f>
        <v>0</v>
      </c>
      <c r="H7" s="957">
        <f>E7+G7</f>
        <v>0</v>
      </c>
      <c r="I7" s="1020">
        <f>-(0.25%*H7)</f>
        <v>0</v>
      </c>
      <c r="J7" s="957">
        <f>SUM(H7:I7)</f>
        <v>0</v>
      </c>
      <c r="K7" s="957">
        <v>0</v>
      </c>
      <c r="L7" s="957">
        <f>SUM(J7:K7)</f>
        <v>0</v>
      </c>
      <c r="M7" s="957">
        <f>L7/12</f>
        <v>0</v>
      </c>
      <c r="N7" s="981">
        <f>'Table 5C1A-Madison Prep'!N7</f>
        <v>2168</v>
      </c>
      <c r="O7" s="958">
        <f>C7*N7</f>
        <v>0</v>
      </c>
      <c r="P7" s="1028">
        <f>-(0.25%*O7)</f>
        <v>0</v>
      </c>
      <c r="Q7" s="958">
        <f>SUM(O7:P7)</f>
        <v>0</v>
      </c>
      <c r="R7" s="958">
        <v>0</v>
      </c>
      <c r="S7" s="958">
        <f>SUM(Q7:R7)</f>
        <v>0</v>
      </c>
      <c r="T7" s="958">
        <f>S7/12</f>
        <v>0</v>
      </c>
      <c r="U7" s="959">
        <f>L7+S7</f>
        <v>0</v>
      </c>
      <c r="V7" s="959">
        <f>M7+T7</f>
        <v>0</v>
      </c>
    </row>
    <row r="8" spans="1:22">
      <c r="A8" s="960">
        <v>2</v>
      </c>
      <c r="B8" s="961" t="s">
        <v>94</v>
      </c>
      <c r="C8" s="1078">
        <v>0</v>
      </c>
      <c r="D8" s="962">
        <f>'Table 3 Levels 1&amp;2'!AL9</f>
        <v>6182.4313545138375</v>
      </c>
      <c r="E8" s="1011">
        <f t="shared" ref="E8:E71" si="2">C8*D8</f>
        <v>0</v>
      </c>
      <c r="F8" s="1011">
        <f>'Table 4 Level 3'!P7</f>
        <v>842.32</v>
      </c>
      <c r="G8" s="1011">
        <f t="shared" ref="G8:G71" si="3">C8*F8</f>
        <v>0</v>
      </c>
      <c r="H8" s="982">
        <f t="shared" ref="H8:H71" si="4">E8+G8</f>
        <v>0</v>
      </c>
      <c r="I8" s="1021">
        <f t="shared" ref="I8:I71" si="5">-(0.25%*H8)</f>
        <v>0</v>
      </c>
      <c r="J8" s="982">
        <f t="shared" ref="J8:J71" si="6">SUM(H8:I8)</f>
        <v>0</v>
      </c>
      <c r="K8" s="982">
        <v>0</v>
      </c>
      <c r="L8" s="982">
        <f t="shared" ref="L8:L71" si="7">SUM(J8:K8)</f>
        <v>0</v>
      </c>
      <c r="M8" s="982">
        <f t="shared" ref="M8:M71" si="8">L8/12</f>
        <v>0</v>
      </c>
      <c r="N8" s="981">
        <f>'Table 5C1A-Madison Prep'!N8</f>
        <v>2627</v>
      </c>
      <c r="O8" s="983">
        <f t="shared" ref="O8:O71" si="9">C8*N8</f>
        <v>0</v>
      </c>
      <c r="P8" s="1029">
        <f t="shared" ref="P8:P71" si="10">-(0.25%*O8)</f>
        <v>0</v>
      </c>
      <c r="Q8" s="983">
        <f t="shared" ref="Q8:Q71" si="11">SUM(O8:P8)</f>
        <v>0</v>
      </c>
      <c r="R8" s="983">
        <v>0</v>
      </c>
      <c r="S8" s="983">
        <f t="shared" ref="S8:S71" si="12">SUM(Q8:R8)</f>
        <v>0</v>
      </c>
      <c r="T8" s="983">
        <f t="shared" ref="T8:T71" si="13">S8/12</f>
        <v>0</v>
      </c>
      <c r="U8" s="984">
        <f t="shared" ref="U8:V71" si="14">L8+S8</f>
        <v>0</v>
      </c>
      <c r="V8" s="984">
        <f t="shared" si="14"/>
        <v>0</v>
      </c>
    </row>
    <row r="9" spans="1:22">
      <c r="A9" s="960">
        <v>3</v>
      </c>
      <c r="B9" s="961" t="s">
        <v>95</v>
      </c>
      <c r="C9" s="1078">
        <v>0</v>
      </c>
      <c r="D9" s="962">
        <f>'Table 3 Levels 1&amp;2'!AL10</f>
        <v>4206.710737685361</v>
      </c>
      <c r="E9" s="1011">
        <f t="shared" si="2"/>
        <v>0</v>
      </c>
      <c r="F9" s="1011">
        <f>'Table 4 Level 3'!P8</f>
        <v>596.84</v>
      </c>
      <c r="G9" s="1011">
        <f t="shared" si="3"/>
        <v>0</v>
      </c>
      <c r="H9" s="982">
        <f t="shared" si="4"/>
        <v>0</v>
      </c>
      <c r="I9" s="1021">
        <f t="shared" si="5"/>
        <v>0</v>
      </c>
      <c r="J9" s="982">
        <f t="shared" si="6"/>
        <v>0</v>
      </c>
      <c r="K9" s="982">
        <v>0</v>
      </c>
      <c r="L9" s="982">
        <f t="shared" si="7"/>
        <v>0</v>
      </c>
      <c r="M9" s="982">
        <f t="shared" si="8"/>
        <v>0</v>
      </c>
      <c r="N9" s="981">
        <f>'Table 5C1A-Madison Prep'!N9</f>
        <v>5431</v>
      </c>
      <c r="O9" s="983">
        <f t="shared" si="9"/>
        <v>0</v>
      </c>
      <c r="P9" s="1029">
        <f t="shared" si="10"/>
        <v>0</v>
      </c>
      <c r="Q9" s="983">
        <f t="shared" si="11"/>
        <v>0</v>
      </c>
      <c r="R9" s="983">
        <v>0</v>
      </c>
      <c r="S9" s="983">
        <f t="shared" si="12"/>
        <v>0</v>
      </c>
      <c r="T9" s="983">
        <f t="shared" si="13"/>
        <v>0</v>
      </c>
      <c r="U9" s="984">
        <f t="shared" si="14"/>
        <v>0</v>
      </c>
      <c r="V9" s="984">
        <f t="shared" si="14"/>
        <v>0</v>
      </c>
    </row>
    <row r="10" spans="1:22">
      <c r="A10" s="960">
        <v>4</v>
      </c>
      <c r="B10" s="961" t="s">
        <v>96</v>
      </c>
      <c r="C10" s="1078">
        <v>0</v>
      </c>
      <c r="D10" s="962">
        <f>'Table 3 Levels 1&amp;2'!AL11</f>
        <v>5987.4993535453223</v>
      </c>
      <c r="E10" s="1011">
        <f t="shared" si="2"/>
        <v>0</v>
      </c>
      <c r="F10" s="1011">
        <f>'Table 4 Level 3'!P9</f>
        <v>585.76</v>
      </c>
      <c r="G10" s="1011">
        <f t="shared" si="3"/>
        <v>0</v>
      </c>
      <c r="H10" s="982">
        <f t="shared" si="4"/>
        <v>0</v>
      </c>
      <c r="I10" s="1021">
        <f t="shared" si="5"/>
        <v>0</v>
      </c>
      <c r="J10" s="982">
        <f t="shared" si="6"/>
        <v>0</v>
      </c>
      <c r="K10" s="982">
        <v>0</v>
      </c>
      <c r="L10" s="982">
        <f t="shared" si="7"/>
        <v>0</v>
      </c>
      <c r="M10" s="982">
        <f t="shared" si="8"/>
        <v>0</v>
      </c>
      <c r="N10" s="981">
        <f>'Table 5C1A-Madison Prep'!N10</f>
        <v>3029</v>
      </c>
      <c r="O10" s="983">
        <f t="shared" si="9"/>
        <v>0</v>
      </c>
      <c r="P10" s="1029">
        <f t="shared" si="10"/>
        <v>0</v>
      </c>
      <c r="Q10" s="983">
        <f t="shared" si="11"/>
        <v>0</v>
      </c>
      <c r="R10" s="983">
        <v>0</v>
      </c>
      <c r="S10" s="983">
        <f t="shared" si="12"/>
        <v>0</v>
      </c>
      <c r="T10" s="983">
        <f t="shared" si="13"/>
        <v>0</v>
      </c>
      <c r="U10" s="984">
        <f t="shared" si="14"/>
        <v>0</v>
      </c>
      <c r="V10" s="984">
        <f t="shared" si="14"/>
        <v>0</v>
      </c>
    </row>
    <row r="11" spans="1:22">
      <c r="A11" s="963">
        <v>5</v>
      </c>
      <c r="B11" s="964" t="s">
        <v>97</v>
      </c>
      <c r="C11" s="1079">
        <v>0</v>
      </c>
      <c r="D11" s="965">
        <f>'Table 3 Levels 1&amp;2'!AL12</f>
        <v>4986.8166927080074</v>
      </c>
      <c r="E11" s="1012">
        <f t="shared" si="2"/>
        <v>0</v>
      </c>
      <c r="F11" s="1012">
        <f>'Table 4 Level 3'!P10</f>
        <v>555.91</v>
      </c>
      <c r="G11" s="1012">
        <f t="shared" si="3"/>
        <v>0</v>
      </c>
      <c r="H11" s="985">
        <f t="shared" si="4"/>
        <v>0</v>
      </c>
      <c r="I11" s="1022">
        <f t="shared" si="5"/>
        <v>0</v>
      </c>
      <c r="J11" s="985">
        <f t="shared" si="6"/>
        <v>0</v>
      </c>
      <c r="K11" s="985">
        <v>0</v>
      </c>
      <c r="L11" s="985">
        <f t="shared" si="7"/>
        <v>0</v>
      </c>
      <c r="M11" s="985">
        <f t="shared" si="8"/>
        <v>0</v>
      </c>
      <c r="N11" s="986">
        <f>'Table 5C1A-Madison Prep'!N11</f>
        <v>1751</v>
      </c>
      <c r="O11" s="987">
        <f t="shared" si="9"/>
        <v>0</v>
      </c>
      <c r="P11" s="1030">
        <f t="shared" si="10"/>
        <v>0</v>
      </c>
      <c r="Q11" s="987">
        <f t="shared" si="11"/>
        <v>0</v>
      </c>
      <c r="R11" s="987">
        <v>0</v>
      </c>
      <c r="S11" s="987">
        <f t="shared" si="12"/>
        <v>0</v>
      </c>
      <c r="T11" s="987">
        <f t="shared" si="13"/>
        <v>0</v>
      </c>
      <c r="U11" s="988">
        <f t="shared" si="14"/>
        <v>0</v>
      </c>
      <c r="V11" s="988">
        <f t="shared" si="14"/>
        <v>0</v>
      </c>
    </row>
    <row r="12" spans="1:22">
      <c r="A12" s="953">
        <v>6</v>
      </c>
      <c r="B12" s="954" t="s">
        <v>98</v>
      </c>
      <c r="C12" s="1080">
        <v>0</v>
      </c>
      <c r="D12" s="956">
        <f>'Table 3 Levels 1&amp;2'!AL13</f>
        <v>5412.7883404260592</v>
      </c>
      <c r="E12" s="1010">
        <f t="shared" si="2"/>
        <v>0</v>
      </c>
      <c r="F12" s="1010">
        <f>'Table 4 Level 3'!P11</f>
        <v>545.4799999999999</v>
      </c>
      <c r="G12" s="1010">
        <f t="shared" si="3"/>
        <v>0</v>
      </c>
      <c r="H12" s="957">
        <f t="shared" si="4"/>
        <v>0</v>
      </c>
      <c r="I12" s="1020">
        <f t="shared" si="5"/>
        <v>0</v>
      </c>
      <c r="J12" s="957">
        <f t="shared" si="6"/>
        <v>0</v>
      </c>
      <c r="K12" s="957">
        <v>0</v>
      </c>
      <c r="L12" s="957">
        <f t="shared" si="7"/>
        <v>0</v>
      </c>
      <c r="M12" s="957">
        <f t="shared" si="8"/>
        <v>0</v>
      </c>
      <c r="N12" s="981">
        <f>'Table 5C1A-Madison Prep'!N12</f>
        <v>3735</v>
      </c>
      <c r="O12" s="958">
        <f t="shared" si="9"/>
        <v>0</v>
      </c>
      <c r="P12" s="1028">
        <f t="shared" si="10"/>
        <v>0</v>
      </c>
      <c r="Q12" s="958">
        <f t="shared" si="11"/>
        <v>0</v>
      </c>
      <c r="R12" s="958">
        <v>0</v>
      </c>
      <c r="S12" s="958">
        <f t="shared" si="12"/>
        <v>0</v>
      </c>
      <c r="T12" s="958">
        <f t="shared" si="13"/>
        <v>0</v>
      </c>
      <c r="U12" s="959">
        <f t="shared" si="14"/>
        <v>0</v>
      </c>
      <c r="V12" s="959">
        <f t="shared" si="14"/>
        <v>0</v>
      </c>
    </row>
    <row r="13" spans="1:22">
      <c r="A13" s="960">
        <v>7</v>
      </c>
      <c r="B13" s="961" t="s">
        <v>99</v>
      </c>
      <c r="C13" s="1078">
        <v>0</v>
      </c>
      <c r="D13" s="962">
        <f>'Table 3 Levels 1&amp;2'!AL14</f>
        <v>1766.1023604176123</v>
      </c>
      <c r="E13" s="1011">
        <f t="shared" si="2"/>
        <v>0</v>
      </c>
      <c r="F13" s="1011">
        <f>'Table 4 Level 3'!P12</f>
        <v>756.91999999999985</v>
      </c>
      <c r="G13" s="1011">
        <f t="shared" si="3"/>
        <v>0</v>
      </c>
      <c r="H13" s="982">
        <f t="shared" si="4"/>
        <v>0</v>
      </c>
      <c r="I13" s="1021">
        <f t="shared" si="5"/>
        <v>0</v>
      </c>
      <c r="J13" s="982">
        <f t="shared" si="6"/>
        <v>0</v>
      </c>
      <c r="K13" s="982">
        <v>0</v>
      </c>
      <c r="L13" s="982">
        <f t="shared" si="7"/>
        <v>0</v>
      </c>
      <c r="M13" s="982">
        <f t="shared" si="8"/>
        <v>0</v>
      </c>
      <c r="N13" s="981">
        <f>'Table 5C1A-Madison Prep'!N13</f>
        <v>11329</v>
      </c>
      <c r="O13" s="983">
        <f t="shared" si="9"/>
        <v>0</v>
      </c>
      <c r="P13" s="1029">
        <f t="shared" si="10"/>
        <v>0</v>
      </c>
      <c r="Q13" s="983">
        <f t="shared" si="11"/>
        <v>0</v>
      </c>
      <c r="R13" s="983">
        <v>0</v>
      </c>
      <c r="S13" s="983">
        <f t="shared" si="12"/>
        <v>0</v>
      </c>
      <c r="T13" s="983">
        <f t="shared" si="13"/>
        <v>0</v>
      </c>
      <c r="U13" s="984">
        <f t="shared" si="14"/>
        <v>0</v>
      </c>
      <c r="V13" s="984">
        <f t="shared" si="14"/>
        <v>0</v>
      </c>
    </row>
    <row r="14" spans="1:22">
      <c r="A14" s="960">
        <v>8</v>
      </c>
      <c r="B14" s="961" t="s">
        <v>100</v>
      </c>
      <c r="C14" s="1078">
        <v>0</v>
      </c>
      <c r="D14" s="962">
        <f>'Table 3 Levels 1&amp;2'!AL15</f>
        <v>4289.5073606712331</v>
      </c>
      <c r="E14" s="1011">
        <f t="shared" si="2"/>
        <v>0</v>
      </c>
      <c r="F14" s="1011">
        <f>'Table 4 Level 3'!P13</f>
        <v>725.76</v>
      </c>
      <c r="G14" s="1011">
        <f t="shared" si="3"/>
        <v>0</v>
      </c>
      <c r="H14" s="982">
        <f t="shared" si="4"/>
        <v>0</v>
      </c>
      <c r="I14" s="1021">
        <f t="shared" si="5"/>
        <v>0</v>
      </c>
      <c r="J14" s="982">
        <f t="shared" si="6"/>
        <v>0</v>
      </c>
      <c r="K14" s="982">
        <v>0</v>
      </c>
      <c r="L14" s="982">
        <f t="shared" si="7"/>
        <v>0</v>
      </c>
      <c r="M14" s="982">
        <f t="shared" si="8"/>
        <v>0</v>
      </c>
      <c r="N14" s="981">
        <f>'Table 5C1A-Madison Prep'!N14</f>
        <v>3915</v>
      </c>
      <c r="O14" s="983">
        <f t="shared" si="9"/>
        <v>0</v>
      </c>
      <c r="P14" s="1029">
        <f t="shared" si="10"/>
        <v>0</v>
      </c>
      <c r="Q14" s="983">
        <f t="shared" si="11"/>
        <v>0</v>
      </c>
      <c r="R14" s="983">
        <v>0</v>
      </c>
      <c r="S14" s="983">
        <f t="shared" si="12"/>
        <v>0</v>
      </c>
      <c r="T14" s="983">
        <f t="shared" si="13"/>
        <v>0</v>
      </c>
      <c r="U14" s="984">
        <f t="shared" si="14"/>
        <v>0</v>
      </c>
      <c r="V14" s="984">
        <f t="shared" si="14"/>
        <v>0</v>
      </c>
    </row>
    <row r="15" spans="1:22">
      <c r="A15" s="960">
        <v>9</v>
      </c>
      <c r="B15" s="961" t="s">
        <v>101</v>
      </c>
      <c r="C15" s="1078">
        <v>0</v>
      </c>
      <c r="D15" s="962">
        <f>'Table 3 Levels 1&amp;2'!AL16</f>
        <v>4395.6154516889328</v>
      </c>
      <c r="E15" s="1011">
        <f t="shared" si="2"/>
        <v>0</v>
      </c>
      <c r="F15" s="1011">
        <f>'Table 4 Level 3'!P14</f>
        <v>744.76</v>
      </c>
      <c r="G15" s="1011">
        <f t="shared" si="3"/>
        <v>0</v>
      </c>
      <c r="H15" s="982">
        <f t="shared" si="4"/>
        <v>0</v>
      </c>
      <c r="I15" s="1021">
        <f t="shared" si="5"/>
        <v>0</v>
      </c>
      <c r="J15" s="982">
        <f t="shared" si="6"/>
        <v>0</v>
      </c>
      <c r="K15" s="982">
        <v>0</v>
      </c>
      <c r="L15" s="982">
        <f t="shared" si="7"/>
        <v>0</v>
      </c>
      <c r="M15" s="982">
        <f t="shared" si="8"/>
        <v>0</v>
      </c>
      <c r="N15" s="981">
        <f>'Table 5C1A-Madison Prep'!N15</f>
        <v>4627</v>
      </c>
      <c r="O15" s="983">
        <f t="shared" si="9"/>
        <v>0</v>
      </c>
      <c r="P15" s="1029">
        <f t="shared" si="10"/>
        <v>0</v>
      </c>
      <c r="Q15" s="983">
        <f t="shared" si="11"/>
        <v>0</v>
      </c>
      <c r="R15" s="983">
        <v>0</v>
      </c>
      <c r="S15" s="983">
        <f t="shared" si="12"/>
        <v>0</v>
      </c>
      <c r="T15" s="983">
        <f t="shared" si="13"/>
        <v>0</v>
      </c>
      <c r="U15" s="984">
        <f t="shared" si="14"/>
        <v>0</v>
      </c>
      <c r="V15" s="984">
        <f t="shared" si="14"/>
        <v>0</v>
      </c>
    </row>
    <row r="16" spans="1:22">
      <c r="A16" s="963">
        <v>10</v>
      </c>
      <c r="B16" s="964" t="s">
        <v>102</v>
      </c>
      <c r="C16" s="1079">
        <v>0</v>
      </c>
      <c r="D16" s="965">
        <f>'Table 3 Levels 1&amp;2'!AL17</f>
        <v>4253.5980618992444</v>
      </c>
      <c r="E16" s="1012">
        <f t="shared" si="2"/>
        <v>0</v>
      </c>
      <c r="F16" s="1012">
        <f>'Table 4 Level 3'!P15</f>
        <v>608.04000000000008</v>
      </c>
      <c r="G16" s="1012">
        <f t="shared" si="3"/>
        <v>0</v>
      </c>
      <c r="H16" s="985">
        <f t="shared" si="4"/>
        <v>0</v>
      </c>
      <c r="I16" s="1022">
        <f t="shared" si="5"/>
        <v>0</v>
      </c>
      <c r="J16" s="985">
        <f t="shared" si="6"/>
        <v>0</v>
      </c>
      <c r="K16" s="985">
        <v>0</v>
      </c>
      <c r="L16" s="985">
        <f t="shared" si="7"/>
        <v>0</v>
      </c>
      <c r="M16" s="985">
        <f t="shared" si="8"/>
        <v>0</v>
      </c>
      <c r="N16" s="986">
        <f>'Table 5C1A-Madison Prep'!N16</f>
        <v>4489</v>
      </c>
      <c r="O16" s="987">
        <f t="shared" si="9"/>
        <v>0</v>
      </c>
      <c r="P16" s="1030">
        <f t="shared" si="10"/>
        <v>0</v>
      </c>
      <c r="Q16" s="987">
        <f t="shared" si="11"/>
        <v>0</v>
      </c>
      <c r="R16" s="987">
        <v>0</v>
      </c>
      <c r="S16" s="987">
        <f t="shared" si="12"/>
        <v>0</v>
      </c>
      <c r="T16" s="987">
        <f t="shared" si="13"/>
        <v>0</v>
      </c>
      <c r="U16" s="988">
        <f t="shared" si="14"/>
        <v>0</v>
      </c>
      <c r="V16" s="988">
        <f t="shared" si="14"/>
        <v>0</v>
      </c>
    </row>
    <row r="17" spans="1:22">
      <c r="A17" s="953">
        <v>11</v>
      </c>
      <c r="B17" s="954" t="s">
        <v>103</v>
      </c>
      <c r="C17" s="1080">
        <v>0</v>
      </c>
      <c r="D17" s="956">
        <f>'Table 3 Levels 1&amp;2'!AL18</f>
        <v>6852.9138435383502</v>
      </c>
      <c r="E17" s="1010">
        <f t="shared" si="2"/>
        <v>0</v>
      </c>
      <c r="F17" s="1010">
        <f>'Table 4 Level 3'!P16</f>
        <v>706.55</v>
      </c>
      <c r="G17" s="1010">
        <f t="shared" si="3"/>
        <v>0</v>
      </c>
      <c r="H17" s="957">
        <f t="shared" si="4"/>
        <v>0</v>
      </c>
      <c r="I17" s="1020">
        <f t="shared" si="5"/>
        <v>0</v>
      </c>
      <c r="J17" s="957">
        <f t="shared" si="6"/>
        <v>0</v>
      </c>
      <c r="K17" s="957">
        <v>0</v>
      </c>
      <c r="L17" s="957">
        <f t="shared" si="7"/>
        <v>0</v>
      </c>
      <c r="M17" s="957">
        <f t="shared" si="8"/>
        <v>0</v>
      </c>
      <c r="N17" s="981">
        <f>'Table 5C1A-Madison Prep'!N17</f>
        <v>3654</v>
      </c>
      <c r="O17" s="958">
        <f t="shared" si="9"/>
        <v>0</v>
      </c>
      <c r="P17" s="1028">
        <f t="shared" si="10"/>
        <v>0</v>
      </c>
      <c r="Q17" s="958">
        <f t="shared" si="11"/>
        <v>0</v>
      </c>
      <c r="R17" s="958">
        <v>0</v>
      </c>
      <c r="S17" s="958">
        <f t="shared" si="12"/>
        <v>0</v>
      </c>
      <c r="T17" s="958">
        <f t="shared" si="13"/>
        <v>0</v>
      </c>
      <c r="U17" s="959">
        <f t="shared" si="14"/>
        <v>0</v>
      </c>
      <c r="V17" s="959">
        <f t="shared" si="14"/>
        <v>0</v>
      </c>
    </row>
    <row r="18" spans="1:22">
      <c r="A18" s="960">
        <v>12</v>
      </c>
      <c r="B18" s="961" t="s">
        <v>104</v>
      </c>
      <c r="C18" s="1078">
        <v>0</v>
      </c>
      <c r="D18" s="962">
        <f>'Table 3 Levels 1&amp;2'!AL19</f>
        <v>1733.9056059356967</v>
      </c>
      <c r="E18" s="1011">
        <f t="shared" si="2"/>
        <v>0</v>
      </c>
      <c r="F18" s="1011">
        <f>'Table 4 Level 3'!P17</f>
        <v>1063.31</v>
      </c>
      <c r="G18" s="1011">
        <f t="shared" si="3"/>
        <v>0</v>
      </c>
      <c r="H18" s="982">
        <f t="shared" si="4"/>
        <v>0</v>
      </c>
      <c r="I18" s="1021">
        <f t="shared" si="5"/>
        <v>0</v>
      </c>
      <c r="J18" s="982">
        <f t="shared" si="6"/>
        <v>0</v>
      </c>
      <c r="K18" s="982">
        <v>0</v>
      </c>
      <c r="L18" s="982">
        <f t="shared" si="7"/>
        <v>0</v>
      </c>
      <c r="M18" s="982">
        <f t="shared" si="8"/>
        <v>0</v>
      </c>
      <c r="N18" s="981">
        <f>'Table 5C1A-Madison Prep'!N18</f>
        <v>13767</v>
      </c>
      <c r="O18" s="983">
        <f t="shared" si="9"/>
        <v>0</v>
      </c>
      <c r="P18" s="1029">
        <f t="shared" si="10"/>
        <v>0</v>
      </c>
      <c r="Q18" s="983">
        <f t="shared" si="11"/>
        <v>0</v>
      </c>
      <c r="R18" s="983">
        <v>0</v>
      </c>
      <c r="S18" s="983">
        <f t="shared" si="12"/>
        <v>0</v>
      </c>
      <c r="T18" s="983">
        <f t="shared" si="13"/>
        <v>0</v>
      </c>
      <c r="U18" s="984">
        <f t="shared" si="14"/>
        <v>0</v>
      </c>
      <c r="V18" s="984">
        <f t="shared" si="14"/>
        <v>0</v>
      </c>
    </row>
    <row r="19" spans="1:22">
      <c r="A19" s="960">
        <v>13</v>
      </c>
      <c r="B19" s="961" t="s">
        <v>105</v>
      </c>
      <c r="C19" s="1078">
        <v>0</v>
      </c>
      <c r="D19" s="962">
        <f>'Table 3 Levels 1&amp;2'!AL20</f>
        <v>6254.1238637730876</v>
      </c>
      <c r="E19" s="1011">
        <f t="shared" si="2"/>
        <v>0</v>
      </c>
      <c r="F19" s="1011">
        <f>'Table 4 Level 3'!P18</f>
        <v>749.43000000000006</v>
      </c>
      <c r="G19" s="1011">
        <f t="shared" si="3"/>
        <v>0</v>
      </c>
      <c r="H19" s="982">
        <f t="shared" si="4"/>
        <v>0</v>
      </c>
      <c r="I19" s="1021">
        <f t="shared" si="5"/>
        <v>0</v>
      </c>
      <c r="J19" s="982">
        <f t="shared" si="6"/>
        <v>0</v>
      </c>
      <c r="K19" s="982">
        <v>0</v>
      </c>
      <c r="L19" s="982">
        <f t="shared" si="7"/>
        <v>0</v>
      </c>
      <c r="M19" s="982">
        <f t="shared" si="8"/>
        <v>0</v>
      </c>
      <c r="N19" s="981">
        <f>'Table 5C1A-Madison Prep'!N19</f>
        <v>2525</v>
      </c>
      <c r="O19" s="983">
        <f t="shared" si="9"/>
        <v>0</v>
      </c>
      <c r="P19" s="1029">
        <f t="shared" si="10"/>
        <v>0</v>
      </c>
      <c r="Q19" s="983">
        <f t="shared" si="11"/>
        <v>0</v>
      </c>
      <c r="R19" s="983">
        <v>0</v>
      </c>
      <c r="S19" s="983">
        <f t="shared" si="12"/>
        <v>0</v>
      </c>
      <c r="T19" s="983">
        <f t="shared" si="13"/>
        <v>0</v>
      </c>
      <c r="U19" s="984">
        <f t="shared" si="14"/>
        <v>0</v>
      </c>
      <c r="V19" s="984">
        <f t="shared" si="14"/>
        <v>0</v>
      </c>
    </row>
    <row r="20" spans="1:22">
      <c r="A20" s="960">
        <v>14</v>
      </c>
      <c r="B20" s="961" t="s">
        <v>106</v>
      </c>
      <c r="C20" s="1078">
        <v>0</v>
      </c>
      <c r="D20" s="962">
        <f>'Table 3 Levels 1&amp;2'!AL21</f>
        <v>5377.9187438545459</v>
      </c>
      <c r="E20" s="1011">
        <f t="shared" si="2"/>
        <v>0</v>
      </c>
      <c r="F20" s="1011">
        <f>'Table 4 Level 3'!P19</f>
        <v>809.9799999999999</v>
      </c>
      <c r="G20" s="1011">
        <f t="shared" si="3"/>
        <v>0</v>
      </c>
      <c r="H20" s="982">
        <f t="shared" si="4"/>
        <v>0</v>
      </c>
      <c r="I20" s="1021">
        <f t="shared" si="5"/>
        <v>0</v>
      </c>
      <c r="J20" s="982">
        <f t="shared" si="6"/>
        <v>0</v>
      </c>
      <c r="K20" s="982">
        <v>0</v>
      </c>
      <c r="L20" s="982">
        <f t="shared" si="7"/>
        <v>0</v>
      </c>
      <c r="M20" s="982">
        <f t="shared" si="8"/>
        <v>0</v>
      </c>
      <c r="N20" s="981">
        <f>'Table 5C1A-Madison Prep'!N20</f>
        <v>3988</v>
      </c>
      <c r="O20" s="983">
        <f t="shared" si="9"/>
        <v>0</v>
      </c>
      <c r="P20" s="1029">
        <f t="shared" si="10"/>
        <v>0</v>
      </c>
      <c r="Q20" s="983">
        <f t="shared" si="11"/>
        <v>0</v>
      </c>
      <c r="R20" s="983">
        <v>0</v>
      </c>
      <c r="S20" s="983">
        <f t="shared" si="12"/>
        <v>0</v>
      </c>
      <c r="T20" s="983">
        <f t="shared" si="13"/>
        <v>0</v>
      </c>
      <c r="U20" s="984">
        <f t="shared" si="14"/>
        <v>0</v>
      </c>
      <c r="V20" s="984">
        <f t="shared" si="14"/>
        <v>0</v>
      </c>
    </row>
    <row r="21" spans="1:22">
      <c r="A21" s="963">
        <v>15</v>
      </c>
      <c r="B21" s="964" t="s">
        <v>107</v>
      </c>
      <c r="C21" s="1079">
        <v>0</v>
      </c>
      <c r="D21" s="965">
        <f>'Table 3 Levels 1&amp;2'!AL22</f>
        <v>5527.7651197617861</v>
      </c>
      <c r="E21" s="1012">
        <f t="shared" si="2"/>
        <v>0</v>
      </c>
      <c r="F21" s="1012">
        <f>'Table 4 Level 3'!P20</f>
        <v>553.79999999999995</v>
      </c>
      <c r="G21" s="1012">
        <f t="shared" si="3"/>
        <v>0</v>
      </c>
      <c r="H21" s="985">
        <f t="shared" si="4"/>
        <v>0</v>
      </c>
      <c r="I21" s="1022">
        <f t="shared" si="5"/>
        <v>0</v>
      </c>
      <c r="J21" s="985">
        <f t="shared" si="6"/>
        <v>0</v>
      </c>
      <c r="K21" s="985">
        <v>0</v>
      </c>
      <c r="L21" s="985">
        <f t="shared" si="7"/>
        <v>0</v>
      </c>
      <c r="M21" s="985">
        <f t="shared" si="8"/>
        <v>0</v>
      </c>
      <c r="N21" s="986">
        <f>'Table 5C1A-Madison Prep'!N21</f>
        <v>2544</v>
      </c>
      <c r="O21" s="987">
        <f t="shared" si="9"/>
        <v>0</v>
      </c>
      <c r="P21" s="1030">
        <f t="shared" si="10"/>
        <v>0</v>
      </c>
      <c r="Q21" s="987">
        <f t="shared" si="11"/>
        <v>0</v>
      </c>
      <c r="R21" s="987">
        <v>0</v>
      </c>
      <c r="S21" s="987">
        <f t="shared" si="12"/>
        <v>0</v>
      </c>
      <c r="T21" s="987">
        <f t="shared" si="13"/>
        <v>0</v>
      </c>
      <c r="U21" s="988">
        <f t="shared" si="14"/>
        <v>0</v>
      </c>
      <c r="V21" s="988">
        <f t="shared" si="14"/>
        <v>0</v>
      </c>
    </row>
    <row r="22" spans="1:22">
      <c r="A22" s="953">
        <v>16</v>
      </c>
      <c r="B22" s="954" t="s">
        <v>108</v>
      </c>
      <c r="C22" s="1080">
        <v>0</v>
      </c>
      <c r="D22" s="956">
        <f>'Table 3 Levels 1&amp;2'!AL23</f>
        <v>1530.3678845377474</v>
      </c>
      <c r="E22" s="1010">
        <f t="shared" si="2"/>
        <v>0</v>
      </c>
      <c r="F22" s="1010">
        <f>'Table 4 Level 3'!P21</f>
        <v>686.73</v>
      </c>
      <c r="G22" s="1010">
        <f t="shared" si="3"/>
        <v>0</v>
      </c>
      <c r="H22" s="957">
        <f t="shared" si="4"/>
        <v>0</v>
      </c>
      <c r="I22" s="1020">
        <f t="shared" si="5"/>
        <v>0</v>
      </c>
      <c r="J22" s="957">
        <f t="shared" si="6"/>
        <v>0</v>
      </c>
      <c r="K22" s="957">
        <v>0</v>
      </c>
      <c r="L22" s="957">
        <f t="shared" si="7"/>
        <v>0</v>
      </c>
      <c r="M22" s="957">
        <f t="shared" si="8"/>
        <v>0</v>
      </c>
      <c r="N22" s="981">
        <f>'Table 5C1A-Madison Prep'!N22</f>
        <v>12132</v>
      </c>
      <c r="O22" s="958">
        <f t="shared" si="9"/>
        <v>0</v>
      </c>
      <c r="P22" s="1028">
        <f t="shared" si="10"/>
        <v>0</v>
      </c>
      <c r="Q22" s="958">
        <f t="shared" si="11"/>
        <v>0</v>
      </c>
      <c r="R22" s="958">
        <v>0</v>
      </c>
      <c r="S22" s="958">
        <f t="shared" si="12"/>
        <v>0</v>
      </c>
      <c r="T22" s="958">
        <f t="shared" si="13"/>
        <v>0</v>
      </c>
      <c r="U22" s="959">
        <f t="shared" si="14"/>
        <v>0</v>
      </c>
      <c r="V22" s="959">
        <f t="shared" si="14"/>
        <v>0</v>
      </c>
    </row>
    <row r="23" spans="1:22">
      <c r="A23" s="960">
        <v>17</v>
      </c>
      <c r="B23" s="961" t="s">
        <v>109</v>
      </c>
      <c r="C23" s="1078">
        <v>0</v>
      </c>
      <c r="D23" s="962">
        <f>'Table 3 Levels 1&amp;2'!AL24</f>
        <v>3313.0666313017805</v>
      </c>
      <c r="E23" s="1011">
        <f t="shared" si="2"/>
        <v>0</v>
      </c>
      <c r="F23" s="1011">
        <f>'Table 4 Level 3'!P22</f>
        <v>801.47762416806802</v>
      </c>
      <c r="G23" s="1011">
        <f t="shared" si="3"/>
        <v>0</v>
      </c>
      <c r="H23" s="982">
        <f t="shared" si="4"/>
        <v>0</v>
      </c>
      <c r="I23" s="1021">
        <f t="shared" si="5"/>
        <v>0</v>
      </c>
      <c r="J23" s="982">
        <f t="shared" si="6"/>
        <v>0</v>
      </c>
      <c r="K23" s="982">
        <v>0</v>
      </c>
      <c r="L23" s="982">
        <f t="shared" si="7"/>
        <v>0</v>
      </c>
      <c r="M23" s="982">
        <f t="shared" si="8"/>
        <v>0</v>
      </c>
      <c r="N23" s="981">
        <f>'Table 5C1A-Madison Prep'!N23</f>
        <v>6764</v>
      </c>
      <c r="O23" s="983">
        <f t="shared" si="9"/>
        <v>0</v>
      </c>
      <c r="P23" s="1029">
        <f t="shared" si="10"/>
        <v>0</v>
      </c>
      <c r="Q23" s="983">
        <f t="shared" si="11"/>
        <v>0</v>
      </c>
      <c r="R23" s="983">
        <v>0</v>
      </c>
      <c r="S23" s="983">
        <f t="shared" si="12"/>
        <v>0</v>
      </c>
      <c r="T23" s="983">
        <f t="shared" si="13"/>
        <v>0</v>
      </c>
      <c r="U23" s="984">
        <f t="shared" si="14"/>
        <v>0</v>
      </c>
      <c r="V23" s="984">
        <f t="shared" si="14"/>
        <v>0</v>
      </c>
    </row>
    <row r="24" spans="1:22">
      <c r="A24" s="960">
        <v>18</v>
      </c>
      <c r="B24" s="961" t="s">
        <v>110</v>
      </c>
      <c r="C24" s="1078">
        <v>0</v>
      </c>
      <c r="D24" s="962">
        <f>'Table 3 Levels 1&amp;2'!AL25</f>
        <v>5989.1351892854573</v>
      </c>
      <c r="E24" s="1011">
        <f t="shared" si="2"/>
        <v>0</v>
      </c>
      <c r="F24" s="1011">
        <f>'Table 4 Level 3'!P23</f>
        <v>845.94999999999993</v>
      </c>
      <c r="G24" s="1011">
        <f t="shared" si="3"/>
        <v>0</v>
      </c>
      <c r="H24" s="982">
        <f t="shared" si="4"/>
        <v>0</v>
      </c>
      <c r="I24" s="1021">
        <f t="shared" si="5"/>
        <v>0</v>
      </c>
      <c r="J24" s="982">
        <f t="shared" si="6"/>
        <v>0</v>
      </c>
      <c r="K24" s="982">
        <v>0</v>
      </c>
      <c r="L24" s="982">
        <f t="shared" si="7"/>
        <v>0</v>
      </c>
      <c r="M24" s="982">
        <f t="shared" si="8"/>
        <v>0</v>
      </c>
      <c r="N24" s="981">
        <f>'Table 5C1A-Madison Prep'!N24</f>
        <v>2925</v>
      </c>
      <c r="O24" s="983">
        <f t="shared" si="9"/>
        <v>0</v>
      </c>
      <c r="P24" s="1029">
        <f t="shared" si="10"/>
        <v>0</v>
      </c>
      <c r="Q24" s="983">
        <f t="shared" si="11"/>
        <v>0</v>
      </c>
      <c r="R24" s="983">
        <v>0</v>
      </c>
      <c r="S24" s="983">
        <f t="shared" si="12"/>
        <v>0</v>
      </c>
      <c r="T24" s="983">
        <f t="shared" si="13"/>
        <v>0</v>
      </c>
      <c r="U24" s="984">
        <f t="shared" si="14"/>
        <v>0</v>
      </c>
      <c r="V24" s="984">
        <f t="shared" si="14"/>
        <v>0</v>
      </c>
    </row>
    <row r="25" spans="1:22">
      <c r="A25" s="960">
        <v>19</v>
      </c>
      <c r="B25" s="961" t="s">
        <v>111</v>
      </c>
      <c r="C25" s="1078">
        <v>0</v>
      </c>
      <c r="D25" s="962">
        <f>'Table 3 Levels 1&amp;2'!AL26</f>
        <v>5315.8913399708035</v>
      </c>
      <c r="E25" s="1011">
        <f t="shared" si="2"/>
        <v>0</v>
      </c>
      <c r="F25" s="1011">
        <f>'Table 4 Level 3'!P24</f>
        <v>905.43</v>
      </c>
      <c r="G25" s="1011">
        <f t="shared" si="3"/>
        <v>0</v>
      </c>
      <c r="H25" s="982">
        <f t="shared" si="4"/>
        <v>0</v>
      </c>
      <c r="I25" s="1021">
        <f t="shared" si="5"/>
        <v>0</v>
      </c>
      <c r="J25" s="982">
        <f t="shared" si="6"/>
        <v>0</v>
      </c>
      <c r="K25" s="982">
        <v>0</v>
      </c>
      <c r="L25" s="982">
        <f t="shared" si="7"/>
        <v>0</v>
      </c>
      <c r="M25" s="982">
        <f t="shared" si="8"/>
        <v>0</v>
      </c>
      <c r="N25" s="981">
        <f>'Table 5C1A-Madison Prep'!N25</f>
        <v>2570</v>
      </c>
      <c r="O25" s="983">
        <f t="shared" si="9"/>
        <v>0</v>
      </c>
      <c r="P25" s="1029">
        <f t="shared" si="10"/>
        <v>0</v>
      </c>
      <c r="Q25" s="983">
        <f t="shared" si="11"/>
        <v>0</v>
      </c>
      <c r="R25" s="983">
        <v>0</v>
      </c>
      <c r="S25" s="983">
        <f t="shared" si="12"/>
        <v>0</v>
      </c>
      <c r="T25" s="983">
        <f t="shared" si="13"/>
        <v>0</v>
      </c>
      <c r="U25" s="984">
        <f t="shared" si="14"/>
        <v>0</v>
      </c>
      <c r="V25" s="984">
        <f t="shared" si="14"/>
        <v>0</v>
      </c>
    </row>
    <row r="26" spans="1:22">
      <c r="A26" s="963">
        <v>20</v>
      </c>
      <c r="B26" s="964" t="s">
        <v>112</v>
      </c>
      <c r="C26" s="1079">
        <v>0</v>
      </c>
      <c r="D26" s="965">
        <f>'Table 3 Levels 1&amp;2'!AL27</f>
        <v>5420.2042919205833</v>
      </c>
      <c r="E26" s="1012">
        <f t="shared" si="2"/>
        <v>0</v>
      </c>
      <c r="F26" s="1012">
        <f>'Table 4 Level 3'!P25</f>
        <v>586.16999999999996</v>
      </c>
      <c r="G26" s="1012">
        <f t="shared" si="3"/>
        <v>0</v>
      </c>
      <c r="H26" s="985">
        <f t="shared" si="4"/>
        <v>0</v>
      </c>
      <c r="I26" s="1022">
        <f t="shared" si="5"/>
        <v>0</v>
      </c>
      <c r="J26" s="985">
        <f t="shared" si="6"/>
        <v>0</v>
      </c>
      <c r="K26" s="985">
        <v>0</v>
      </c>
      <c r="L26" s="985">
        <f t="shared" si="7"/>
        <v>0</v>
      </c>
      <c r="M26" s="985">
        <f t="shared" si="8"/>
        <v>0</v>
      </c>
      <c r="N26" s="986">
        <f>'Table 5C1A-Madison Prep'!N26</f>
        <v>2420</v>
      </c>
      <c r="O26" s="987">
        <f t="shared" si="9"/>
        <v>0</v>
      </c>
      <c r="P26" s="1030">
        <f t="shared" si="10"/>
        <v>0</v>
      </c>
      <c r="Q26" s="987">
        <f t="shared" si="11"/>
        <v>0</v>
      </c>
      <c r="R26" s="987">
        <v>0</v>
      </c>
      <c r="S26" s="987">
        <f t="shared" si="12"/>
        <v>0</v>
      </c>
      <c r="T26" s="987">
        <f t="shared" si="13"/>
        <v>0</v>
      </c>
      <c r="U26" s="988">
        <f t="shared" si="14"/>
        <v>0</v>
      </c>
      <c r="V26" s="988">
        <f t="shared" si="14"/>
        <v>0</v>
      </c>
    </row>
    <row r="27" spans="1:22">
      <c r="A27" s="953">
        <v>21</v>
      </c>
      <c r="B27" s="954" t="s">
        <v>113</v>
      </c>
      <c r="C27" s="1080">
        <v>0</v>
      </c>
      <c r="D27" s="956">
        <f>'Table 3 Levels 1&amp;2'!AL28</f>
        <v>5724.5404916279067</v>
      </c>
      <c r="E27" s="1010">
        <f t="shared" si="2"/>
        <v>0</v>
      </c>
      <c r="F27" s="1010">
        <f>'Table 4 Level 3'!P26</f>
        <v>610.35</v>
      </c>
      <c r="G27" s="1010">
        <f t="shared" si="3"/>
        <v>0</v>
      </c>
      <c r="H27" s="957">
        <f t="shared" si="4"/>
        <v>0</v>
      </c>
      <c r="I27" s="1020">
        <f t="shared" si="5"/>
        <v>0</v>
      </c>
      <c r="J27" s="957">
        <f t="shared" si="6"/>
        <v>0</v>
      </c>
      <c r="K27" s="957">
        <v>0</v>
      </c>
      <c r="L27" s="957">
        <f t="shared" si="7"/>
        <v>0</v>
      </c>
      <c r="M27" s="957">
        <f t="shared" si="8"/>
        <v>0</v>
      </c>
      <c r="N27" s="981">
        <f>'Table 5C1A-Madison Prep'!N27</f>
        <v>2265</v>
      </c>
      <c r="O27" s="958">
        <f t="shared" si="9"/>
        <v>0</v>
      </c>
      <c r="P27" s="1028">
        <f t="shared" si="10"/>
        <v>0</v>
      </c>
      <c r="Q27" s="958">
        <f t="shared" si="11"/>
        <v>0</v>
      </c>
      <c r="R27" s="958">
        <v>0</v>
      </c>
      <c r="S27" s="958">
        <f t="shared" si="12"/>
        <v>0</v>
      </c>
      <c r="T27" s="958">
        <f t="shared" si="13"/>
        <v>0</v>
      </c>
      <c r="U27" s="959">
        <f t="shared" si="14"/>
        <v>0</v>
      </c>
      <c r="V27" s="959">
        <f t="shared" si="14"/>
        <v>0</v>
      </c>
    </row>
    <row r="28" spans="1:22">
      <c r="A28" s="960">
        <v>22</v>
      </c>
      <c r="B28" s="961" t="s">
        <v>114</v>
      </c>
      <c r="C28" s="1078">
        <v>0</v>
      </c>
      <c r="D28" s="962">
        <f>'Table 3 Levels 1&amp;2'!AL29</f>
        <v>6203.2933768722742</v>
      </c>
      <c r="E28" s="1011">
        <f t="shared" si="2"/>
        <v>0</v>
      </c>
      <c r="F28" s="1011">
        <f>'Table 4 Level 3'!P27</f>
        <v>496.36</v>
      </c>
      <c r="G28" s="1011">
        <f t="shared" si="3"/>
        <v>0</v>
      </c>
      <c r="H28" s="982">
        <f t="shared" si="4"/>
        <v>0</v>
      </c>
      <c r="I28" s="1021">
        <f t="shared" si="5"/>
        <v>0</v>
      </c>
      <c r="J28" s="982">
        <f t="shared" si="6"/>
        <v>0</v>
      </c>
      <c r="K28" s="982">
        <v>0</v>
      </c>
      <c r="L28" s="982">
        <f t="shared" si="7"/>
        <v>0</v>
      </c>
      <c r="M28" s="982">
        <f t="shared" si="8"/>
        <v>0</v>
      </c>
      <c r="N28" s="981">
        <f>'Table 5C1A-Madison Prep'!N28</f>
        <v>1438</v>
      </c>
      <c r="O28" s="983">
        <f t="shared" si="9"/>
        <v>0</v>
      </c>
      <c r="P28" s="1029">
        <f t="shared" si="10"/>
        <v>0</v>
      </c>
      <c r="Q28" s="983">
        <f t="shared" si="11"/>
        <v>0</v>
      </c>
      <c r="R28" s="983">
        <v>0</v>
      </c>
      <c r="S28" s="983">
        <f t="shared" si="12"/>
        <v>0</v>
      </c>
      <c r="T28" s="983">
        <f t="shared" si="13"/>
        <v>0</v>
      </c>
      <c r="U28" s="984">
        <f t="shared" si="14"/>
        <v>0</v>
      </c>
      <c r="V28" s="984">
        <f t="shared" si="14"/>
        <v>0</v>
      </c>
    </row>
    <row r="29" spans="1:22">
      <c r="A29" s="960">
        <v>23</v>
      </c>
      <c r="B29" s="961" t="s">
        <v>115</v>
      </c>
      <c r="C29" s="1078">
        <v>0</v>
      </c>
      <c r="D29" s="962">
        <f>'Table 3 Levels 1&amp;2'!AL30</f>
        <v>4846.0802490067681</v>
      </c>
      <c r="E29" s="1011">
        <f t="shared" si="2"/>
        <v>0</v>
      </c>
      <c r="F29" s="1011">
        <f>'Table 4 Level 3'!P28</f>
        <v>688.58</v>
      </c>
      <c r="G29" s="1011">
        <f t="shared" si="3"/>
        <v>0</v>
      </c>
      <c r="H29" s="982">
        <f t="shared" si="4"/>
        <v>0</v>
      </c>
      <c r="I29" s="1021">
        <f t="shared" si="5"/>
        <v>0</v>
      </c>
      <c r="J29" s="982">
        <f t="shared" si="6"/>
        <v>0</v>
      </c>
      <c r="K29" s="982">
        <v>0</v>
      </c>
      <c r="L29" s="982">
        <f t="shared" si="7"/>
        <v>0</v>
      </c>
      <c r="M29" s="982">
        <f t="shared" si="8"/>
        <v>0</v>
      </c>
      <c r="N29" s="981">
        <f>'Table 5C1A-Madison Prep'!N29</f>
        <v>3386</v>
      </c>
      <c r="O29" s="983">
        <f t="shared" si="9"/>
        <v>0</v>
      </c>
      <c r="P29" s="1029">
        <f t="shared" si="10"/>
        <v>0</v>
      </c>
      <c r="Q29" s="983">
        <f t="shared" si="11"/>
        <v>0</v>
      </c>
      <c r="R29" s="983">
        <v>0</v>
      </c>
      <c r="S29" s="983">
        <f t="shared" si="12"/>
        <v>0</v>
      </c>
      <c r="T29" s="983">
        <f t="shared" si="13"/>
        <v>0</v>
      </c>
      <c r="U29" s="984">
        <f t="shared" si="14"/>
        <v>0</v>
      </c>
      <c r="V29" s="984">
        <f t="shared" si="14"/>
        <v>0</v>
      </c>
    </row>
    <row r="30" spans="1:22">
      <c r="A30" s="960">
        <v>24</v>
      </c>
      <c r="B30" s="961" t="s">
        <v>116</v>
      </c>
      <c r="C30" s="1078">
        <v>0</v>
      </c>
      <c r="D30" s="962">
        <f>'Table 3 Levels 1&amp;2'!AL31</f>
        <v>2764.1216755319151</v>
      </c>
      <c r="E30" s="1011">
        <f t="shared" si="2"/>
        <v>0</v>
      </c>
      <c r="F30" s="1011">
        <f>'Table 4 Level 3'!P29</f>
        <v>854.24999999999989</v>
      </c>
      <c r="G30" s="1011">
        <f t="shared" si="3"/>
        <v>0</v>
      </c>
      <c r="H30" s="982">
        <f t="shared" si="4"/>
        <v>0</v>
      </c>
      <c r="I30" s="1021">
        <f t="shared" si="5"/>
        <v>0</v>
      </c>
      <c r="J30" s="982">
        <f t="shared" si="6"/>
        <v>0</v>
      </c>
      <c r="K30" s="982">
        <v>0</v>
      </c>
      <c r="L30" s="982">
        <f t="shared" si="7"/>
        <v>0</v>
      </c>
      <c r="M30" s="982">
        <f t="shared" si="8"/>
        <v>0</v>
      </c>
      <c r="N30" s="981">
        <f>'Table 5C1A-Madison Prep'!N30</f>
        <v>9761</v>
      </c>
      <c r="O30" s="983">
        <f t="shared" si="9"/>
        <v>0</v>
      </c>
      <c r="P30" s="1029">
        <f t="shared" si="10"/>
        <v>0</v>
      </c>
      <c r="Q30" s="983">
        <f t="shared" si="11"/>
        <v>0</v>
      </c>
      <c r="R30" s="983">
        <v>0</v>
      </c>
      <c r="S30" s="983">
        <f t="shared" si="12"/>
        <v>0</v>
      </c>
      <c r="T30" s="983">
        <f t="shared" si="13"/>
        <v>0</v>
      </c>
      <c r="U30" s="984">
        <f t="shared" si="14"/>
        <v>0</v>
      </c>
      <c r="V30" s="984">
        <f t="shared" si="14"/>
        <v>0</v>
      </c>
    </row>
    <row r="31" spans="1:22">
      <c r="A31" s="963">
        <v>25</v>
      </c>
      <c r="B31" s="964" t="s">
        <v>117</v>
      </c>
      <c r="C31" s="1079">
        <v>0</v>
      </c>
      <c r="D31" s="965">
        <f>'Table 3 Levels 1&amp;2'!AL32</f>
        <v>3867.4480692053257</v>
      </c>
      <c r="E31" s="1012">
        <f t="shared" si="2"/>
        <v>0</v>
      </c>
      <c r="F31" s="1012">
        <f>'Table 4 Level 3'!P30</f>
        <v>653.73</v>
      </c>
      <c r="G31" s="1012">
        <f t="shared" si="3"/>
        <v>0</v>
      </c>
      <c r="H31" s="985">
        <f t="shared" si="4"/>
        <v>0</v>
      </c>
      <c r="I31" s="1022">
        <f t="shared" si="5"/>
        <v>0</v>
      </c>
      <c r="J31" s="985">
        <f t="shared" si="6"/>
        <v>0</v>
      </c>
      <c r="K31" s="985">
        <v>0</v>
      </c>
      <c r="L31" s="985">
        <f t="shared" si="7"/>
        <v>0</v>
      </c>
      <c r="M31" s="985">
        <f t="shared" si="8"/>
        <v>0</v>
      </c>
      <c r="N31" s="986">
        <f>'Table 5C1A-Madison Prep'!N31</f>
        <v>4842</v>
      </c>
      <c r="O31" s="987">
        <f t="shared" si="9"/>
        <v>0</v>
      </c>
      <c r="P31" s="1030">
        <f t="shared" si="10"/>
        <v>0</v>
      </c>
      <c r="Q31" s="987">
        <f t="shared" si="11"/>
        <v>0</v>
      </c>
      <c r="R31" s="987">
        <v>0</v>
      </c>
      <c r="S31" s="987">
        <f t="shared" si="12"/>
        <v>0</v>
      </c>
      <c r="T31" s="987">
        <f t="shared" si="13"/>
        <v>0</v>
      </c>
      <c r="U31" s="988">
        <f t="shared" si="14"/>
        <v>0</v>
      </c>
      <c r="V31" s="988">
        <f t="shared" si="14"/>
        <v>0</v>
      </c>
    </row>
    <row r="32" spans="1:22">
      <c r="A32" s="953">
        <v>26</v>
      </c>
      <c r="B32" s="954" t="s">
        <v>118</v>
      </c>
      <c r="C32" s="1080">
        <v>90</v>
      </c>
      <c r="D32" s="956">
        <f>'Table 3 Levels 1&amp;2'!AL33</f>
        <v>3293.481526790355</v>
      </c>
      <c r="E32" s="1010">
        <f t="shared" si="2"/>
        <v>296413.33741113194</v>
      </c>
      <c r="F32" s="1010">
        <f>'Table 4 Level 3'!P31</f>
        <v>836.83</v>
      </c>
      <c r="G32" s="1010">
        <f t="shared" si="3"/>
        <v>75314.7</v>
      </c>
      <c r="H32" s="957">
        <f t="shared" si="4"/>
        <v>371728.03741113195</v>
      </c>
      <c r="I32" s="1020">
        <f t="shared" si="5"/>
        <v>-929.32009352782995</v>
      </c>
      <c r="J32" s="957">
        <f t="shared" si="6"/>
        <v>370798.71731760411</v>
      </c>
      <c r="K32" s="957">
        <v>0</v>
      </c>
      <c r="L32" s="957">
        <f t="shared" si="7"/>
        <v>370798.71731760411</v>
      </c>
      <c r="M32" s="957">
        <f t="shared" si="8"/>
        <v>30899.893109800341</v>
      </c>
      <c r="N32" s="981">
        <f>'Table 5C1A-Madison Prep'!N32</f>
        <v>5301</v>
      </c>
      <c r="O32" s="958">
        <f t="shared" si="9"/>
        <v>477090</v>
      </c>
      <c r="P32" s="1028">
        <f t="shared" si="10"/>
        <v>-1192.7250000000001</v>
      </c>
      <c r="Q32" s="958">
        <f t="shared" si="11"/>
        <v>475897.27500000002</v>
      </c>
      <c r="R32" s="958">
        <v>0</v>
      </c>
      <c r="S32" s="958">
        <f t="shared" si="12"/>
        <v>475897.27500000002</v>
      </c>
      <c r="T32" s="958">
        <f t="shared" si="13"/>
        <v>39658.106250000004</v>
      </c>
      <c r="U32" s="959">
        <f t="shared" si="14"/>
        <v>846695.99231760413</v>
      </c>
      <c r="V32" s="959">
        <f t="shared" si="14"/>
        <v>70557.999359800349</v>
      </c>
    </row>
    <row r="33" spans="1:22">
      <c r="A33" s="960">
        <v>27</v>
      </c>
      <c r="B33" s="961" t="s">
        <v>119</v>
      </c>
      <c r="C33" s="1081">
        <v>0</v>
      </c>
      <c r="D33" s="966">
        <f>'Table 3 Levels 1&amp;2'!AL34</f>
        <v>5680.7727517381973</v>
      </c>
      <c r="E33" s="1013">
        <f t="shared" si="2"/>
        <v>0</v>
      </c>
      <c r="F33" s="1013">
        <f>'Table 4 Level 3'!P32</f>
        <v>693.06</v>
      </c>
      <c r="G33" s="1013">
        <f t="shared" si="3"/>
        <v>0</v>
      </c>
      <c r="H33" s="989">
        <f t="shared" si="4"/>
        <v>0</v>
      </c>
      <c r="I33" s="1023">
        <f t="shared" si="5"/>
        <v>0</v>
      </c>
      <c r="J33" s="989">
        <f t="shared" si="6"/>
        <v>0</v>
      </c>
      <c r="K33" s="989">
        <v>0</v>
      </c>
      <c r="L33" s="989">
        <f t="shared" si="7"/>
        <v>0</v>
      </c>
      <c r="M33" s="989">
        <f t="shared" si="8"/>
        <v>0</v>
      </c>
      <c r="N33" s="981">
        <f>'Table 5C1A-Madison Prep'!N33</f>
        <v>3252</v>
      </c>
      <c r="O33" s="983">
        <f t="shared" si="9"/>
        <v>0</v>
      </c>
      <c r="P33" s="1029">
        <f t="shared" si="10"/>
        <v>0</v>
      </c>
      <c r="Q33" s="983">
        <f t="shared" si="11"/>
        <v>0</v>
      </c>
      <c r="R33" s="983">
        <v>0</v>
      </c>
      <c r="S33" s="983">
        <f t="shared" si="12"/>
        <v>0</v>
      </c>
      <c r="T33" s="983">
        <f t="shared" si="13"/>
        <v>0</v>
      </c>
      <c r="U33" s="984">
        <f t="shared" si="14"/>
        <v>0</v>
      </c>
      <c r="V33" s="984">
        <f t="shared" si="14"/>
        <v>0</v>
      </c>
    </row>
    <row r="34" spans="1:22">
      <c r="A34" s="960">
        <v>28</v>
      </c>
      <c r="B34" s="961" t="s">
        <v>120</v>
      </c>
      <c r="C34" s="1081">
        <v>0</v>
      </c>
      <c r="D34" s="966">
        <f>'Table 3 Levels 1&amp;2'!AL35</f>
        <v>3163.1694438483169</v>
      </c>
      <c r="E34" s="1013">
        <f t="shared" si="2"/>
        <v>0</v>
      </c>
      <c r="F34" s="1013">
        <f>'Table 4 Level 3'!P33</f>
        <v>694.4</v>
      </c>
      <c r="G34" s="1013">
        <f t="shared" si="3"/>
        <v>0</v>
      </c>
      <c r="H34" s="989">
        <f t="shared" si="4"/>
        <v>0</v>
      </c>
      <c r="I34" s="1023">
        <f t="shared" si="5"/>
        <v>0</v>
      </c>
      <c r="J34" s="989">
        <f t="shared" si="6"/>
        <v>0</v>
      </c>
      <c r="K34" s="989">
        <v>0</v>
      </c>
      <c r="L34" s="989">
        <f t="shared" si="7"/>
        <v>0</v>
      </c>
      <c r="M34" s="989">
        <f t="shared" si="8"/>
        <v>0</v>
      </c>
      <c r="N34" s="981">
        <f>'Table 5C1A-Madison Prep'!N34</f>
        <v>5361</v>
      </c>
      <c r="O34" s="983">
        <f t="shared" si="9"/>
        <v>0</v>
      </c>
      <c r="P34" s="1029">
        <f t="shared" si="10"/>
        <v>0</v>
      </c>
      <c r="Q34" s="983">
        <f t="shared" si="11"/>
        <v>0</v>
      </c>
      <c r="R34" s="983">
        <v>0</v>
      </c>
      <c r="S34" s="983">
        <f t="shared" si="12"/>
        <v>0</v>
      </c>
      <c r="T34" s="983">
        <f t="shared" si="13"/>
        <v>0</v>
      </c>
      <c r="U34" s="984">
        <f t="shared" si="14"/>
        <v>0</v>
      </c>
      <c r="V34" s="984">
        <f t="shared" si="14"/>
        <v>0</v>
      </c>
    </row>
    <row r="35" spans="1:22">
      <c r="A35" s="960">
        <v>29</v>
      </c>
      <c r="B35" s="961" t="s">
        <v>121</v>
      </c>
      <c r="C35" s="1081">
        <v>0</v>
      </c>
      <c r="D35" s="966">
        <f>'Table 3 Levels 1&amp;2'!AL36</f>
        <v>3952.5586133052648</v>
      </c>
      <c r="E35" s="1013">
        <f t="shared" si="2"/>
        <v>0</v>
      </c>
      <c r="F35" s="1013">
        <f>'Table 4 Level 3'!P34</f>
        <v>754.94999999999993</v>
      </c>
      <c r="G35" s="1013">
        <f t="shared" si="3"/>
        <v>0</v>
      </c>
      <c r="H35" s="989">
        <f t="shared" si="4"/>
        <v>0</v>
      </c>
      <c r="I35" s="1023">
        <f t="shared" si="5"/>
        <v>0</v>
      </c>
      <c r="J35" s="989">
        <f t="shared" si="6"/>
        <v>0</v>
      </c>
      <c r="K35" s="989">
        <v>0</v>
      </c>
      <c r="L35" s="989">
        <f t="shared" si="7"/>
        <v>0</v>
      </c>
      <c r="M35" s="989">
        <f t="shared" si="8"/>
        <v>0</v>
      </c>
      <c r="N35" s="981">
        <f>'Table 5C1A-Madison Prep'!N35</f>
        <v>4763</v>
      </c>
      <c r="O35" s="983">
        <f t="shared" si="9"/>
        <v>0</v>
      </c>
      <c r="P35" s="1029">
        <f t="shared" si="10"/>
        <v>0</v>
      </c>
      <c r="Q35" s="983">
        <f t="shared" si="11"/>
        <v>0</v>
      </c>
      <c r="R35" s="983">
        <v>0</v>
      </c>
      <c r="S35" s="983">
        <f t="shared" si="12"/>
        <v>0</v>
      </c>
      <c r="T35" s="983">
        <f t="shared" si="13"/>
        <v>0</v>
      </c>
      <c r="U35" s="984">
        <f t="shared" si="14"/>
        <v>0</v>
      </c>
      <c r="V35" s="984">
        <f t="shared" si="14"/>
        <v>0</v>
      </c>
    </row>
    <row r="36" spans="1:22">
      <c r="A36" s="963">
        <v>30</v>
      </c>
      <c r="B36" s="964" t="s">
        <v>122</v>
      </c>
      <c r="C36" s="1082">
        <v>0</v>
      </c>
      <c r="D36" s="967">
        <f>'Table 3 Levels 1&amp;2'!AL37</f>
        <v>5648.6510465852989</v>
      </c>
      <c r="E36" s="1014">
        <f t="shared" si="2"/>
        <v>0</v>
      </c>
      <c r="F36" s="1014">
        <f>'Table 4 Level 3'!P35</f>
        <v>727.17</v>
      </c>
      <c r="G36" s="1014">
        <f t="shared" si="3"/>
        <v>0</v>
      </c>
      <c r="H36" s="990">
        <f t="shared" si="4"/>
        <v>0</v>
      </c>
      <c r="I36" s="1024">
        <f t="shared" si="5"/>
        <v>0</v>
      </c>
      <c r="J36" s="990">
        <f t="shared" si="6"/>
        <v>0</v>
      </c>
      <c r="K36" s="990">
        <v>0</v>
      </c>
      <c r="L36" s="990">
        <f t="shared" si="7"/>
        <v>0</v>
      </c>
      <c r="M36" s="990">
        <f t="shared" si="8"/>
        <v>0</v>
      </c>
      <c r="N36" s="986">
        <f>'Table 5C1A-Madison Prep'!N36</f>
        <v>3236</v>
      </c>
      <c r="O36" s="987">
        <f t="shared" si="9"/>
        <v>0</v>
      </c>
      <c r="P36" s="1030">
        <f t="shared" si="10"/>
        <v>0</v>
      </c>
      <c r="Q36" s="987">
        <f t="shared" si="11"/>
        <v>0</v>
      </c>
      <c r="R36" s="987">
        <v>0</v>
      </c>
      <c r="S36" s="987">
        <f t="shared" si="12"/>
        <v>0</v>
      </c>
      <c r="T36" s="987">
        <f t="shared" si="13"/>
        <v>0</v>
      </c>
      <c r="U36" s="988">
        <f t="shared" si="14"/>
        <v>0</v>
      </c>
      <c r="V36" s="988">
        <f t="shared" si="14"/>
        <v>0</v>
      </c>
    </row>
    <row r="37" spans="1:22">
      <c r="A37" s="953">
        <v>31</v>
      </c>
      <c r="B37" s="954" t="s">
        <v>123</v>
      </c>
      <c r="C37" s="1083">
        <v>0</v>
      </c>
      <c r="D37" s="968">
        <f>'Table 3 Levels 1&amp;2'!AL38</f>
        <v>4348.9307899232972</v>
      </c>
      <c r="E37" s="1015">
        <f t="shared" si="2"/>
        <v>0</v>
      </c>
      <c r="F37" s="1015">
        <f>'Table 4 Level 3'!P36</f>
        <v>620.83000000000004</v>
      </c>
      <c r="G37" s="1015">
        <f t="shared" si="3"/>
        <v>0</v>
      </c>
      <c r="H37" s="991">
        <f t="shared" si="4"/>
        <v>0</v>
      </c>
      <c r="I37" s="1025">
        <f t="shared" si="5"/>
        <v>0</v>
      </c>
      <c r="J37" s="991">
        <f t="shared" si="6"/>
        <v>0</v>
      </c>
      <c r="K37" s="991">
        <v>0</v>
      </c>
      <c r="L37" s="991">
        <f t="shared" si="7"/>
        <v>0</v>
      </c>
      <c r="M37" s="991">
        <f t="shared" si="8"/>
        <v>0</v>
      </c>
      <c r="N37" s="981">
        <f>'Table 5C1A-Madison Prep'!N37</f>
        <v>4795</v>
      </c>
      <c r="O37" s="958">
        <f t="shared" si="9"/>
        <v>0</v>
      </c>
      <c r="P37" s="1028">
        <f t="shared" si="10"/>
        <v>0</v>
      </c>
      <c r="Q37" s="958">
        <f t="shared" si="11"/>
        <v>0</v>
      </c>
      <c r="R37" s="958">
        <v>0</v>
      </c>
      <c r="S37" s="958">
        <f t="shared" si="12"/>
        <v>0</v>
      </c>
      <c r="T37" s="958">
        <f t="shared" si="13"/>
        <v>0</v>
      </c>
      <c r="U37" s="959">
        <f t="shared" si="14"/>
        <v>0</v>
      </c>
      <c r="V37" s="959">
        <f t="shared" si="14"/>
        <v>0</v>
      </c>
    </row>
    <row r="38" spans="1:22">
      <c r="A38" s="960">
        <v>32</v>
      </c>
      <c r="B38" s="961" t="s">
        <v>124</v>
      </c>
      <c r="C38" s="1081">
        <v>0</v>
      </c>
      <c r="D38" s="966">
        <f>'Table 3 Levels 1&amp;2'!AL39</f>
        <v>5531.5157655456787</v>
      </c>
      <c r="E38" s="1013">
        <f t="shared" si="2"/>
        <v>0</v>
      </c>
      <c r="F38" s="1013">
        <f>'Table 4 Level 3'!P37</f>
        <v>559.77</v>
      </c>
      <c r="G38" s="1013">
        <f t="shared" si="3"/>
        <v>0</v>
      </c>
      <c r="H38" s="989">
        <f t="shared" si="4"/>
        <v>0</v>
      </c>
      <c r="I38" s="1023">
        <f t="shared" si="5"/>
        <v>0</v>
      </c>
      <c r="J38" s="989">
        <f t="shared" si="6"/>
        <v>0</v>
      </c>
      <c r="K38" s="989">
        <v>0</v>
      </c>
      <c r="L38" s="989">
        <f t="shared" si="7"/>
        <v>0</v>
      </c>
      <c r="M38" s="989">
        <f t="shared" si="8"/>
        <v>0</v>
      </c>
      <c r="N38" s="981">
        <f>'Table 5C1A-Madison Prep'!N38</f>
        <v>2109</v>
      </c>
      <c r="O38" s="983">
        <f t="shared" si="9"/>
        <v>0</v>
      </c>
      <c r="P38" s="1029">
        <f t="shared" si="10"/>
        <v>0</v>
      </c>
      <c r="Q38" s="983">
        <f t="shared" si="11"/>
        <v>0</v>
      </c>
      <c r="R38" s="983">
        <v>0</v>
      </c>
      <c r="S38" s="983">
        <f t="shared" si="12"/>
        <v>0</v>
      </c>
      <c r="T38" s="983">
        <f t="shared" si="13"/>
        <v>0</v>
      </c>
      <c r="U38" s="984">
        <f t="shared" si="14"/>
        <v>0</v>
      </c>
      <c r="V38" s="984">
        <f t="shared" si="14"/>
        <v>0</v>
      </c>
    </row>
    <row r="39" spans="1:22">
      <c r="A39" s="960">
        <v>33</v>
      </c>
      <c r="B39" s="961" t="s">
        <v>125</v>
      </c>
      <c r="C39" s="1081">
        <v>0</v>
      </c>
      <c r="D39" s="966">
        <f>'Table 3 Levels 1&amp;2'!AL40</f>
        <v>5329.5444226517857</v>
      </c>
      <c r="E39" s="1013">
        <f t="shared" si="2"/>
        <v>0</v>
      </c>
      <c r="F39" s="1013">
        <f>'Table 4 Level 3'!P38</f>
        <v>655.31000000000006</v>
      </c>
      <c r="G39" s="1013">
        <f t="shared" si="3"/>
        <v>0</v>
      </c>
      <c r="H39" s="989">
        <f t="shared" si="4"/>
        <v>0</v>
      </c>
      <c r="I39" s="1023">
        <f t="shared" si="5"/>
        <v>0</v>
      </c>
      <c r="J39" s="989">
        <f t="shared" si="6"/>
        <v>0</v>
      </c>
      <c r="K39" s="989">
        <v>0</v>
      </c>
      <c r="L39" s="989">
        <f t="shared" si="7"/>
        <v>0</v>
      </c>
      <c r="M39" s="989">
        <f t="shared" si="8"/>
        <v>0</v>
      </c>
      <c r="N39" s="981">
        <f>'Table 5C1A-Madison Prep'!N39</f>
        <v>2649</v>
      </c>
      <c r="O39" s="983">
        <f t="shared" si="9"/>
        <v>0</v>
      </c>
      <c r="P39" s="1029">
        <f t="shared" si="10"/>
        <v>0</v>
      </c>
      <c r="Q39" s="983">
        <f t="shared" si="11"/>
        <v>0</v>
      </c>
      <c r="R39" s="983">
        <v>0</v>
      </c>
      <c r="S39" s="983">
        <f t="shared" si="12"/>
        <v>0</v>
      </c>
      <c r="T39" s="983">
        <f t="shared" si="13"/>
        <v>0</v>
      </c>
      <c r="U39" s="984">
        <f t="shared" si="14"/>
        <v>0</v>
      </c>
      <c r="V39" s="984">
        <f t="shared" si="14"/>
        <v>0</v>
      </c>
    </row>
    <row r="40" spans="1:22">
      <c r="A40" s="960">
        <v>34</v>
      </c>
      <c r="B40" s="961" t="s">
        <v>126</v>
      </c>
      <c r="C40" s="1081">
        <v>0</v>
      </c>
      <c r="D40" s="966">
        <f>'Table 3 Levels 1&amp;2'!AL41</f>
        <v>6003.632932007491</v>
      </c>
      <c r="E40" s="1013">
        <f t="shared" si="2"/>
        <v>0</v>
      </c>
      <c r="F40" s="1013">
        <f>'Table 4 Level 3'!P39</f>
        <v>644.11000000000013</v>
      </c>
      <c r="G40" s="1013">
        <f t="shared" si="3"/>
        <v>0</v>
      </c>
      <c r="H40" s="989">
        <f t="shared" si="4"/>
        <v>0</v>
      </c>
      <c r="I40" s="1023">
        <f t="shared" si="5"/>
        <v>0</v>
      </c>
      <c r="J40" s="989">
        <f t="shared" si="6"/>
        <v>0</v>
      </c>
      <c r="K40" s="989">
        <v>0</v>
      </c>
      <c r="L40" s="989">
        <f t="shared" si="7"/>
        <v>0</v>
      </c>
      <c r="M40" s="989">
        <f t="shared" si="8"/>
        <v>0</v>
      </c>
      <c r="N40" s="981">
        <f>'Table 5C1A-Madison Prep'!N40</f>
        <v>2817</v>
      </c>
      <c r="O40" s="983">
        <f t="shared" si="9"/>
        <v>0</v>
      </c>
      <c r="P40" s="1029">
        <f t="shared" si="10"/>
        <v>0</v>
      </c>
      <c r="Q40" s="983">
        <f t="shared" si="11"/>
        <v>0</v>
      </c>
      <c r="R40" s="983">
        <v>0</v>
      </c>
      <c r="S40" s="983">
        <f t="shared" si="12"/>
        <v>0</v>
      </c>
      <c r="T40" s="983">
        <f t="shared" si="13"/>
        <v>0</v>
      </c>
      <c r="U40" s="984">
        <f t="shared" si="14"/>
        <v>0</v>
      </c>
      <c r="V40" s="984">
        <f t="shared" si="14"/>
        <v>0</v>
      </c>
    </row>
    <row r="41" spans="1:22">
      <c r="A41" s="963">
        <v>35</v>
      </c>
      <c r="B41" s="964" t="s">
        <v>127</v>
      </c>
      <c r="C41" s="1082">
        <v>0</v>
      </c>
      <c r="D41" s="967">
        <f>'Table 3 Levels 1&amp;2'!AL42</f>
        <v>4607.1606416222867</v>
      </c>
      <c r="E41" s="1014">
        <f t="shared" si="2"/>
        <v>0</v>
      </c>
      <c r="F41" s="1014">
        <f>'Table 4 Level 3'!P40</f>
        <v>537.96</v>
      </c>
      <c r="G41" s="1014">
        <f t="shared" si="3"/>
        <v>0</v>
      </c>
      <c r="H41" s="990">
        <f t="shared" si="4"/>
        <v>0</v>
      </c>
      <c r="I41" s="1024">
        <f t="shared" si="5"/>
        <v>0</v>
      </c>
      <c r="J41" s="990">
        <f t="shared" si="6"/>
        <v>0</v>
      </c>
      <c r="K41" s="990">
        <v>0</v>
      </c>
      <c r="L41" s="990">
        <f t="shared" si="7"/>
        <v>0</v>
      </c>
      <c r="M41" s="990">
        <f t="shared" si="8"/>
        <v>0</v>
      </c>
      <c r="N41" s="986">
        <f>'Table 5C1A-Madison Prep'!N41</f>
        <v>3298</v>
      </c>
      <c r="O41" s="987">
        <f t="shared" si="9"/>
        <v>0</v>
      </c>
      <c r="P41" s="1030">
        <f t="shared" si="10"/>
        <v>0</v>
      </c>
      <c r="Q41" s="987">
        <f t="shared" si="11"/>
        <v>0</v>
      </c>
      <c r="R41" s="987">
        <v>0</v>
      </c>
      <c r="S41" s="987">
        <f t="shared" si="12"/>
        <v>0</v>
      </c>
      <c r="T41" s="987">
        <f t="shared" si="13"/>
        <v>0</v>
      </c>
      <c r="U41" s="988">
        <f t="shared" si="14"/>
        <v>0</v>
      </c>
      <c r="V41" s="988">
        <f t="shared" si="14"/>
        <v>0</v>
      </c>
    </row>
    <row r="42" spans="1:22">
      <c r="A42" s="953">
        <v>36</v>
      </c>
      <c r="B42" s="954" t="s">
        <v>128</v>
      </c>
      <c r="C42" s="1083">
        <v>5</v>
      </c>
      <c r="D42" s="968">
        <f>'Table 3 Levels 1&amp;2'!AL43</f>
        <v>3520.4894337711748</v>
      </c>
      <c r="E42" s="1015">
        <f t="shared" si="2"/>
        <v>17602.447168855873</v>
      </c>
      <c r="F42" s="1015">
        <v>746.0335616438357</v>
      </c>
      <c r="G42" s="1015">
        <f t="shared" si="3"/>
        <v>3730.1678082191784</v>
      </c>
      <c r="H42" s="991">
        <f t="shared" si="4"/>
        <v>21332.614977075053</v>
      </c>
      <c r="I42" s="1025">
        <f t="shared" si="5"/>
        <v>-53.331537442687633</v>
      </c>
      <c r="J42" s="991">
        <f t="shared" si="6"/>
        <v>21279.283439632363</v>
      </c>
      <c r="K42" s="991">
        <v>0</v>
      </c>
      <c r="L42" s="991">
        <f t="shared" si="7"/>
        <v>21279.283439632363</v>
      </c>
      <c r="M42" s="991">
        <f t="shared" si="8"/>
        <v>1773.2736199693636</v>
      </c>
      <c r="N42" s="981">
        <f>'Table 5C1A-Madison Prep'!N42</f>
        <v>5442</v>
      </c>
      <c r="O42" s="958">
        <f t="shared" si="9"/>
        <v>27210</v>
      </c>
      <c r="P42" s="1028">
        <f t="shared" si="10"/>
        <v>-68.025000000000006</v>
      </c>
      <c r="Q42" s="958">
        <f t="shared" si="11"/>
        <v>27141.974999999999</v>
      </c>
      <c r="R42" s="958">
        <v>0</v>
      </c>
      <c r="S42" s="958">
        <f t="shared" si="12"/>
        <v>27141.974999999999</v>
      </c>
      <c r="T42" s="958">
        <f t="shared" si="13"/>
        <v>2261.8312499999997</v>
      </c>
      <c r="U42" s="959">
        <f t="shared" si="14"/>
        <v>48421.258439632365</v>
      </c>
      <c r="V42" s="959">
        <f t="shared" si="14"/>
        <v>4035.1048699693633</v>
      </c>
    </row>
    <row r="43" spans="1:22">
      <c r="A43" s="960">
        <v>37</v>
      </c>
      <c r="B43" s="961" t="s">
        <v>129</v>
      </c>
      <c r="C43" s="1081">
        <v>0</v>
      </c>
      <c r="D43" s="966">
        <f>'Table 3 Levels 1&amp;2'!AL44</f>
        <v>5503.7595641818853</v>
      </c>
      <c r="E43" s="1013">
        <f t="shared" si="2"/>
        <v>0</v>
      </c>
      <c r="F43" s="1013">
        <f>'Table 4 Level 3'!P42</f>
        <v>653.61</v>
      </c>
      <c r="G43" s="1013">
        <f t="shared" si="3"/>
        <v>0</v>
      </c>
      <c r="H43" s="989">
        <f t="shared" si="4"/>
        <v>0</v>
      </c>
      <c r="I43" s="1023">
        <f t="shared" si="5"/>
        <v>0</v>
      </c>
      <c r="J43" s="989">
        <f t="shared" si="6"/>
        <v>0</v>
      </c>
      <c r="K43" s="989">
        <v>0</v>
      </c>
      <c r="L43" s="989">
        <f t="shared" si="7"/>
        <v>0</v>
      </c>
      <c r="M43" s="989">
        <f t="shared" si="8"/>
        <v>0</v>
      </c>
      <c r="N43" s="981">
        <f>'Table 5C1A-Madison Prep'!N43</f>
        <v>3227</v>
      </c>
      <c r="O43" s="983">
        <f t="shared" si="9"/>
        <v>0</v>
      </c>
      <c r="P43" s="1029">
        <f t="shared" si="10"/>
        <v>0</v>
      </c>
      <c r="Q43" s="983">
        <f t="shared" si="11"/>
        <v>0</v>
      </c>
      <c r="R43" s="983">
        <v>0</v>
      </c>
      <c r="S43" s="983">
        <f t="shared" si="12"/>
        <v>0</v>
      </c>
      <c r="T43" s="983">
        <f t="shared" si="13"/>
        <v>0</v>
      </c>
      <c r="U43" s="984">
        <f t="shared" si="14"/>
        <v>0</v>
      </c>
      <c r="V43" s="984">
        <f t="shared" si="14"/>
        <v>0</v>
      </c>
    </row>
    <row r="44" spans="1:22">
      <c r="A44" s="960">
        <v>38</v>
      </c>
      <c r="B44" s="961" t="s">
        <v>130</v>
      </c>
      <c r="C44" s="1081">
        <v>0</v>
      </c>
      <c r="D44" s="966">
        <f>'Table 3 Levels 1&amp;2'!AL45</f>
        <v>2192.7545275590551</v>
      </c>
      <c r="E44" s="1013">
        <f t="shared" si="2"/>
        <v>0</v>
      </c>
      <c r="F44" s="1013">
        <f>'Table 4 Level 3'!P43</f>
        <v>829.92000000000007</v>
      </c>
      <c r="G44" s="1013">
        <f t="shared" si="3"/>
        <v>0</v>
      </c>
      <c r="H44" s="989">
        <f t="shared" si="4"/>
        <v>0</v>
      </c>
      <c r="I44" s="1023">
        <f t="shared" si="5"/>
        <v>0</v>
      </c>
      <c r="J44" s="989">
        <f t="shared" si="6"/>
        <v>0</v>
      </c>
      <c r="K44" s="989">
        <v>0</v>
      </c>
      <c r="L44" s="989">
        <f t="shared" si="7"/>
        <v>0</v>
      </c>
      <c r="M44" s="989">
        <f t="shared" si="8"/>
        <v>0</v>
      </c>
      <c r="N44" s="981">
        <f>'Table 5C1A-Madison Prep'!N44</f>
        <v>10867</v>
      </c>
      <c r="O44" s="983">
        <f t="shared" si="9"/>
        <v>0</v>
      </c>
      <c r="P44" s="1029">
        <f t="shared" si="10"/>
        <v>0</v>
      </c>
      <c r="Q44" s="983">
        <f t="shared" si="11"/>
        <v>0</v>
      </c>
      <c r="R44" s="983">
        <v>0</v>
      </c>
      <c r="S44" s="983">
        <f t="shared" si="12"/>
        <v>0</v>
      </c>
      <c r="T44" s="983">
        <f t="shared" si="13"/>
        <v>0</v>
      </c>
      <c r="U44" s="984">
        <f t="shared" si="14"/>
        <v>0</v>
      </c>
      <c r="V44" s="984">
        <f t="shared" si="14"/>
        <v>0</v>
      </c>
    </row>
    <row r="45" spans="1:22">
      <c r="A45" s="960">
        <v>39</v>
      </c>
      <c r="B45" s="961" t="s">
        <v>131</v>
      </c>
      <c r="C45" s="1081">
        <v>0</v>
      </c>
      <c r="D45" s="966">
        <f>'Table 3 Levels 1&amp;2'!AL46</f>
        <v>3639.9942778062696</v>
      </c>
      <c r="E45" s="1013">
        <f t="shared" si="2"/>
        <v>0</v>
      </c>
      <c r="F45" s="1013">
        <f>'Table 4 Level 3'!P44</f>
        <v>779.65573042776441</v>
      </c>
      <c r="G45" s="1013">
        <f t="shared" si="3"/>
        <v>0</v>
      </c>
      <c r="H45" s="989">
        <f t="shared" si="4"/>
        <v>0</v>
      </c>
      <c r="I45" s="1023">
        <f t="shared" si="5"/>
        <v>0</v>
      </c>
      <c r="J45" s="989">
        <f t="shared" si="6"/>
        <v>0</v>
      </c>
      <c r="K45" s="989">
        <v>0</v>
      </c>
      <c r="L45" s="989">
        <f t="shared" si="7"/>
        <v>0</v>
      </c>
      <c r="M45" s="989">
        <f t="shared" si="8"/>
        <v>0</v>
      </c>
      <c r="N45" s="981">
        <f>'Table 5C1A-Madison Prep'!N45</f>
        <v>4324</v>
      </c>
      <c r="O45" s="983">
        <f t="shared" si="9"/>
        <v>0</v>
      </c>
      <c r="P45" s="1029">
        <f t="shared" si="10"/>
        <v>0</v>
      </c>
      <c r="Q45" s="983">
        <f t="shared" si="11"/>
        <v>0</v>
      </c>
      <c r="R45" s="983">
        <v>0</v>
      </c>
      <c r="S45" s="983">
        <f t="shared" si="12"/>
        <v>0</v>
      </c>
      <c r="T45" s="983">
        <f t="shared" si="13"/>
        <v>0</v>
      </c>
      <c r="U45" s="984">
        <f t="shared" si="14"/>
        <v>0</v>
      </c>
      <c r="V45" s="984">
        <f t="shared" si="14"/>
        <v>0</v>
      </c>
    </row>
    <row r="46" spans="1:22">
      <c r="A46" s="963">
        <v>40</v>
      </c>
      <c r="B46" s="964" t="s">
        <v>132</v>
      </c>
      <c r="C46" s="1082">
        <v>0</v>
      </c>
      <c r="D46" s="967">
        <f>'Table 3 Levels 1&amp;2'!AL47</f>
        <v>4928.4974462701202</v>
      </c>
      <c r="E46" s="1014">
        <f t="shared" si="2"/>
        <v>0</v>
      </c>
      <c r="F46" s="1014">
        <f>'Table 4 Level 3'!P45</f>
        <v>700.2700000000001</v>
      </c>
      <c r="G46" s="1014">
        <f t="shared" si="3"/>
        <v>0</v>
      </c>
      <c r="H46" s="990">
        <f t="shared" si="4"/>
        <v>0</v>
      </c>
      <c r="I46" s="1024">
        <f t="shared" si="5"/>
        <v>0</v>
      </c>
      <c r="J46" s="990">
        <f t="shared" si="6"/>
        <v>0</v>
      </c>
      <c r="K46" s="990">
        <v>0</v>
      </c>
      <c r="L46" s="990">
        <f t="shared" si="7"/>
        <v>0</v>
      </c>
      <c r="M46" s="990">
        <f t="shared" si="8"/>
        <v>0</v>
      </c>
      <c r="N46" s="986">
        <f>'Table 5C1A-Madison Prep'!N46</f>
        <v>3007</v>
      </c>
      <c r="O46" s="987">
        <f t="shared" si="9"/>
        <v>0</v>
      </c>
      <c r="P46" s="1030">
        <f t="shared" si="10"/>
        <v>0</v>
      </c>
      <c r="Q46" s="987">
        <f t="shared" si="11"/>
        <v>0</v>
      </c>
      <c r="R46" s="987">
        <v>0</v>
      </c>
      <c r="S46" s="987">
        <f t="shared" si="12"/>
        <v>0</v>
      </c>
      <c r="T46" s="987">
        <f t="shared" si="13"/>
        <v>0</v>
      </c>
      <c r="U46" s="988">
        <f t="shared" si="14"/>
        <v>0</v>
      </c>
      <c r="V46" s="988">
        <f t="shared" si="14"/>
        <v>0</v>
      </c>
    </row>
    <row r="47" spans="1:22">
      <c r="A47" s="953">
        <v>41</v>
      </c>
      <c r="B47" s="954" t="s">
        <v>133</v>
      </c>
      <c r="C47" s="1083">
        <v>0</v>
      </c>
      <c r="D47" s="968">
        <f>'Table 3 Levels 1&amp;2'!AL48</f>
        <v>1615.6013465627216</v>
      </c>
      <c r="E47" s="1015">
        <f t="shared" si="2"/>
        <v>0</v>
      </c>
      <c r="F47" s="1015">
        <f>'Table 4 Level 3'!P46</f>
        <v>886.22</v>
      </c>
      <c r="G47" s="1015">
        <f t="shared" si="3"/>
        <v>0</v>
      </c>
      <c r="H47" s="991">
        <f t="shared" si="4"/>
        <v>0</v>
      </c>
      <c r="I47" s="1025">
        <f t="shared" si="5"/>
        <v>0</v>
      </c>
      <c r="J47" s="991">
        <f t="shared" si="6"/>
        <v>0</v>
      </c>
      <c r="K47" s="991">
        <v>0</v>
      </c>
      <c r="L47" s="991">
        <f t="shared" si="7"/>
        <v>0</v>
      </c>
      <c r="M47" s="991">
        <f t="shared" si="8"/>
        <v>0</v>
      </c>
      <c r="N47" s="981">
        <f>'Table 5C1A-Madison Prep'!N47</f>
        <v>9087</v>
      </c>
      <c r="O47" s="958">
        <f t="shared" si="9"/>
        <v>0</v>
      </c>
      <c r="P47" s="1028">
        <f t="shared" si="10"/>
        <v>0</v>
      </c>
      <c r="Q47" s="958">
        <f t="shared" si="11"/>
        <v>0</v>
      </c>
      <c r="R47" s="958">
        <v>0</v>
      </c>
      <c r="S47" s="958">
        <f t="shared" si="12"/>
        <v>0</v>
      </c>
      <c r="T47" s="958">
        <f t="shared" si="13"/>
        <v>0</v>
      </c>
      <c r="U47" s="959">
        <f t="shared" si="14"/>
        <v>0</v>
      </c>
      <c r="V47" s="959">
        <f t="shared" si="14"/>
        <v>0</v>
      </c>
    </row>
    <row r="48" spans="1:22">
      <c r="A48" s="960">
        <v>42</v>
      </c>
      <c r="B48" s="961" t="s">
        <v>134</v>
      </c>
      <c r="C48" s="1081">
        <v>0</v>
      </c>
      <c r="D48" s="966">
        <f>'Table 3 Levels 1&amp;2'!AL49</f>
        <v>5087.4730460987803</v>
      </c>
      <c r="E48" s="1013">
        <f t="shared" si="2"/>
        <v>0</v>
      </c>
      <c r="F48" s="1013">
        <f>'Table 4 Level 3'!P47</f>
        <v>534.28</v>
      </c>
      <c r="G48" s="1013">
        <f t="shared" si="3"/>
        <v>0</v>
      </c>
      <c r="H48" s="989">
        <f t="shared" si="4"/>
        <v>0</v>
      </c>
      <c r="I48" s="1023">
        <f t="shared" si="5"/>
        <v>0</v>
      </c>
      <c r="J48" s="989">
        <f t="shared" si="6"/>
        <v>0</v>
      </c>
      <c r="K48" s="989">
        <v>0</v>
      </c>
      <c r="L48" s="989">
        <f t="shared" si="7"/>
        <v>0</v>
      </c>
      <c r="M48" s="989">
        <f t="shared" si="8"/>
        <v>0</v>
      </c>
      <c r="N48" s="981">
        <f>'Table 5C1A-Madison Prep'!N48</f>
        <v>2867</v>
      </c>
      <c r="O48" s="983">
        <f t="shared" si="9"/>
        <v>0</v>
      </c>
      <c r="P48" s="1029">
        <f t="shared" si="10"/>
        <v>0</v>
      </c>
      <c r="Q48" s="983">
        <f t="shared" si="11"/>
        <v>0</v>
      </c>
      <c r="R48" s="983">
        <v>0</v>
      </c>
      <c r="S48" s="983">
        <f t="shared" si="12"/>
        <v>0</v>
      </c>
      <c r="T48" s="983">
        <f t="shared" si="13"/>
        <v>0</v>
      </c>
      <c r="U48" s="984">
        <f t="shared" si="14"/>
        <v>0</v>
      </c>
      <c r="V48" s="984">
        <f t="shared" si="14"/>
        <v>0</v>
      </c>
    </row>
    <row r="49" spans="1:22">
      <c r="A49" s="960">
        <v>43</v>
      </c>
      <c r="B49" s="961" t="s">
        <v>135</v>
      </c>
      <c r="C49" s="1081">
        <v>0</v>
      </c>
      <c r="D49" s="966">
        <f>'Table 3 Levels 1&amp;2'!AL50</f>
        <v>4717.8414352725031</v>
      </c>
      <c r="E49" s="1013">
        <f t="shared" si="2"/>
        <v>0</v>
      </c>
      <c r="F49" s="1013">
        <f>'Table 4 Level 3'!P48</f>
        <v>574.6099999999999</v>
      </c>
      <c r="G49" s="1013">
        <f t="shared" si="3"/>
        <v>0</v>
      </c>
      <c r="H49" s="989">
        <f t="shared" si="4"/>
        <v>0</v>
      </c>
      <c r="I49" s="1023">
        <f t="shared" si="5"/>
        <v>0</v>
      </c>
      <c r="J49" s="989">
        <f t="shared" si="6"/>
        <v>0</v>
      </c>
      <c r="K49" s="989">
        <v>0</v>
      </c>
      <c r="L49" s="989">
        <f t="shared" si="7"/>
        <v>0</v>
      </c>
      <c r="M49" s="989">
        <f t="shared" si="8"/>
        <v>0</v>
      </c>
      <c r="N49" s="981">
        <f>'Table 5C1A-Madison Prep'!N49</f>
        <v>3587</v>
      </c>
      <c r="O49" s="983">
        <f t="shared" si="9"/>
        <v>0</v>
      </c>
      <c r="P49" s="1029">
        <f t="shared" si="10"/>
        <v>0</v>
      </c>
      <c r="Q49" s="983">
        <f t="shared" si="11"/>
        <v>0</v>
      </c>
      <c r="R49" s="983">
        <v>0</v>
      </c>
      <c r="S49" s="983">
        <f t="shared" si="12"/>
        <v>0</v>
      </c>
      <c r="T49" s="983">
        <f t="shared" si="13"/>
        <v>0</v>
      </c>
      <c r="U49" s="984">
        <f t="shared" si="14"/>
        <v>0</v>
      </c>
      <c r="V49" s="984">
        <f t="shared" si="14"/>
        <v>0</v>
      </c>
    </row>
    <row r="50" spans="1:22">
      <c r="A50" s="960">
        <v>44</v>
      </c>
      <c r="B50" s="961" t="s">
        <v>136</v>
      </c>
      <c r="C50" s="1081">
        <v>3</v>
      </c>
      <c r="D50" s="966">
        <f>'Table 3 Levels 1&amp;2'!AL51</f>
        <v>4696.6221228259064</v>
      </c>
      <c r="E50" s="1013">
        <f t="shared" si="2"/>
        <v>14089.86636847772</v>
      </c>
      <c r="F50" s="1013">
        <f>'Table 4 Level 3'!P49</f>
        <v>663.16000000000008</v>
      </c>
      <c r="G50" s="1013">
        <f t="shared" si="3"/>
        <v>1989.4800000000002</v>
      </c>
      <c r="H50" s="989">
        <f t="shared" si="4"/>
        <v>16079.34636847772</v>
      </c>
      <c r="I50" s="1023">
        <f t="shared" si="5"/>
        <v>-40.198365921194302</v>
      </c>
      <c r="J50" s="989">
        <f t="shared" si="6"/>
        <v>16039.148002556525</v>
      </c>
      <c r="K50" s="989">
        <v>0</v>
      </c>
      <c r="L50" s="989">
        <f t="shared" si="7"/>
        <v>16039.148002556525</v>
      </c>
      <c r="M50" s="989">
        <f t="shared" si="8"/>
        <v>1336.5956668797105</v>
      </c>
      <c r="N50" s="981">
        <f>'Table 5C1A-Madison Prep'!N50</f>
        <v>4561</v>
      </c>
      <c r="O50" s="983">
        <f t="shared" si="9"/>
        <v>13683</v>
      </c>
      <c r="P50" s="1029">
        <f t="shared" si="10"/>
        <v>-34.207500000000003</v>
      </c>
      <c r="Q50" s="983">
        <f t="shared" si="11"/>
        <v>13648.7925</v>
      </c>
      <c r="R50" s="983">
        <v>0</v>
      </c>
      <c r="S50" s="983">
        <f t="shared" si="12"/>
        <v>13648.7925</v>
      </c>
      <c r="T50" s="983">
        <f t="shared" si="13"/>
        <v>1137.399375</v>
      </c>
      <c r="U50" s="984">
        <f t="shared" si="14"/>
        <v>29687.940502556525</v>
      </c>
      <c r="V50" s="984">
        <f t="shared" si="14"/>
        <v>2473.9950418797107</v>
      </c>
    </row>
    <row r="51" spans="1:22">
      <c r="A51" s="963">
        <v>45</v>
      </c>
      <c r="B51" s="964" t="s">
        <v>137</v>
      </c>
      <c r="C51" s="1082">
        <v>2</v>
      </c>
      <c r="D51" s="967">
        <f>'Table 3 Levels 1&amp;2'!AL52</f>
        <v>2192.4914538932262</v>
      </c>
      <c r="E51" s="1014">
        <f t="shared" si="2"/>
        <v>4384.9829077864524</v>
      </c>
      <c r="F51" s="1014">
        <f>'Table 4 Level 3'!P50</f>
        <v>753.96000000000015</v>
      </c>
      <c r="G51" s="1014">
        <f t="shared" si="3"/>
        <v>1507.9200000000003</v>
      </c>
      <c r="H51" s="990">
        <f t="shared" si="4"/>
        <v>5892.9029077864525</v>
      </c>
      <c r="I51" s="1024">
        <f t="shared" si="5"/>
        <v>-14.732257269466132</v>
      </c>
      <c r="J51" s="990">
        <f t="shared" si="6"/>
        <v>5878.1706505169859</v>
      </c>
      <c r="K51" s="990">
        <v>0</v>
      </c>
      <c r="L51" s="990">
        <f t="shared" si="7"/>
        <v>5878.1706505169859</v>
      </c>
      <c r="M51" s="990">
        <f t="shared" si="8"/>
        <v>489.84755420974881</v>
      </c>
      <c r="N51" s="986">
        <f>'Table 5C1A-Madison Prep'!N51</f>
        <v>11287</v>
      </c>
      <c r="O51" s="987">
        <f t="shared" si="9"/>
        <v>22574</v>
      </c>
      <c r="P51" s="1030">
        <f t="shared" si="10"/>
        <v>-56.435000000000002</v>
      </c>
      <c r="Q51" s="987">
        <f t="shared" si="11"/>
        <v>22517.564999999999</v>
      </c>
      <c r="R51" s="987">
        <v>0</v>
      </c>
      <c r="S51" s="987">
        <f t="shared" si="12"/>
        <v>22517.564999999999</v>
      </c>
      <c r="T51" s="987">
        <f t="shared" si="13"/>
        <v>1876.4637499999999</v>
      </c>
      <c r="U51" s="988">
        <f t="shared" si="14"/>
        <v>28395.735650516985</v>
      </c>
      <c r="V51" s="988">
        <f t="shared" si="14"/>
        <v>2366.3113042097489</v>
      </c>
    </row>
    <row r="52" spans="1:22">
      <c r="A52" s="953">
        <v>46</v>
      </c>
      <c r="B52" s="954" t="s">
        <v>138</v>
      </c>
      <c r="C52" s="1083">
        <v>0</v>
      </c>
      <c r="D52" s="968">
        <f>'Table 3 Levels 1&amp;2'!AL53</f>
        <v>5644.6599115241634</v>
      </c>
      <c r="E52" s="1015">
        <f t="shared" si="2"/>
        <v>0</v>
      </c>
      <c r="F52" s="1015">
        <f>'Table 4 Level 3'!P51</f>
        <v>728.06</v>
      </c>
      <c r="G52" s="1015">
        <f t="shared" si="3"/>
        <v>0</v>
      </c>
      <c r="H52" s="991">
        <f t="shared" si="4"/>
        <v>0</v>
      </c>
      <c r="I52" s="1025">
        <f t="shared" si="5"/>
        <v>0</v>
      </c>
      <c r="J52" s="991">
        <f t="shared" si="6"/>
        <v>0</v>
      </c>
      <c r="K52" s="991">
        <v>0</v>
      </c>
      <c r="L52" s="991">
        <f t="shared" si="7"/>
        <v>0</v>
      </c>
      <c r="M52" s="991">
        <f t="shared" si="8"/>
        <v>0</v>
      </c>
      <c r="N52" s="981">
        <f>'Table 5C1A-Madison Prep'!N52</f>
        <v>2150</v>
      </c>
      <c r="O52" s="958">
        <f t="shared" si="9"/>
        <v>0</v>
      </c>
      <c r="P52" s="1028">
        <f t="shared" si="10"/>
        <v>0</v>
      </c>
      <c r="Q52" s="958">
        <f t="shared" si="11"/>
        <v>0</v>
      </c>
      <c r="R52" s="958">
        <v>0</v>
      </c>
      <c r="S52" s="958">
        <f t="shared" si="12"/>
        <v>0</v>
      </c>
      <c r="T52" s="958">
        <f t="shared" si="13"/>
        <v>0</v>
      </c>
      <c r="U52" s="959">
        <f t="shared" si="14"/>
        <v>0</v>
      </c>
      <c r="V52" s="959">
        <f t="shared" si="14"/>
        <v>0</v>
      </c>
    </row>
    <row r="53" spans="1:22">
      <c r="A53" s="960">
        <v>47</v>
      </c>
      <c r="B53" s="961" t="s">
        <v>139</v>
      </c>
      <c r="C53" s="1081">
        <v>0</v>
      </c>
      <c r="D53" s="966">
        <f>'Table 3 Levels 1&amp;2'!AL54</f>
        <v>2731.2444076222037</v>
      </c>
      <c r="E53" s="1013">
        <f t="shared" si="2"/>
        <v>0</v>
      </c>
      <c r="F53" s="1013">
        <f>'Table 4 Level 3'!P52</f>
        <v>910.76</v>
      </c>
      <c r="G53" s="1013">
        <f t="shared" si="3"/>
        <v>0</v>
      </c>
      <c r="H53" s="989">
        <f t="shared" si="4"/>
        <v>0</v>
      </c>
      <c r="I53" s="1023">
        <f t="shared" si="5"/>
        <v>0</v>
      </c>
      <c r="J53" s="989">
        <f t="shared" si="6"/>
        <v>0</v>
      </c>
      <c r="K53" s="989">
        <v>0</v>
      </c>
      <c r="L53" s="989">
        <f t="shared" si="7"/>
        <v>0</v>
      </c>
      <c r="M53" s="989">
        <f t="shared" si="8"/>
        <v>0</v>
      </c>
      <c r="N53" s="981">
        <f>'Table 5C1A-Madison Prep'!N53</f>
        <v>13280</v>
      </c>
      <c r="O53" s="983">
        <f t="shared" si="9"/>
        <v>0</v>
      </c>
      <c r="P53" s="1029">
        <f t="shared" si="10"/>
        <v>0</v>
      </c>
      <c r="Q53" s="983">
        <f t="shared" si="11"/>
        <v>0</v>
      </c>
      <c r="R53" s="983">
        <v>0</v>
      </c>
      <c r="S53" s="983">
        <f t="shared" si="12"/>
        <v>0</v>
      </c>
      <c r="T53" s="983">
        <f t="shared" si="13"/>
        <v>0</v>
      </c>
      <c r="U53" s="984">
        <f t="shared" si="14"/>
        <v>0</v>
      </c>
      <c r="V53" s="984">
        <f t="shared" si="14"/>
        <v>0</v>
      </c>
    </row>
    <row r="54" spans="1:22">
      <c r="A54" s="960">
        <v>48</v>
      </c>
      <c r="B54" s="961" t="s">
        <v>197</v>
      </c>
      <c r="C54" s="1081">
        <v>0</v>
      </c>
      <c r="D54" s="966">
        <f>'Table 3 Levels 1&amp;2'!AL55</f>
        <v>4272.723323083942</v>
      </c>
      <c r="E54" s="1013">
        <f t="shared" si="2"/>
        <v>0</v>
      </c>
      <c r="F54" s="1013">
        <f>'Table 4 Level 3'!P53</f>
        <v>871.07</v>
      </c>
      <c r="G54" s="1013">
        <f t="shared" si="3"/>
        <v>0</v>
      </c>
      <c r="H54" s="989">
        <f t="shared" si="4"/>
        <v>0</v>
      </c>
      <c r="I54" s="1023">
        <f t="shared" si="5"/>
        <v>0</v>
      </c>
      <c r="J54" s="989">
        <f t="shared" si="6"/>
        <v>0</v>
      </c>
      <c r="K54" s="989">
        <v>0</v>
      </c>
      <c r="L54" s="989">
        <f t="shared" si="7"/>
        <v>0</v>
      </c>
      <c r="M54" s="989">
        <f t="shared" si="8"/>
        <v>0</v>
      </c>
      <c r="N54" s="981">
        <f>'Table 5C1A-Madison Prep'!N54</f>
        <v>6453</v>
      </c>
      <c r="O54" s="983">
        <f t="shared" si="9"/>
        <v>0</v>
      </c>
      <c r="P54" s="1029">
        <f t="shared" si="10"/>
        <v>0</v>
      </c>
      <c r="Q54" s="983">
        <f t="shared" si="11"/>
        <v>0</v>
      </c>
      <c r="R54" s="983">
        <v>0</v>
      </c>
      <c r="S54" s="983">
        <f t="shared" si="12"/>
        <v>0</v>
      </c>
      <c r="T54" s="983">
        <f t="shared" si="13"/>
        <v>0</v>
      </c>
      <c r="U54" s="984">
        <f t="shared" si="14"/>
        <v>0</v>
      </c>
      <c r="V54" s="984">
        <f t="shared" si="14"/>
        <v>0</v>
      </c>
    </row>
    <row r="55" spans="1:22">
      <c r="A55" s="960">
        <v>49</v>
      </c>
      <c r="B55" s="961" t="s">
        <v>140</v>
      </c>
      <c r="C55" s="1081">
        <v>0</v>
      </c>
      <c r="D55" s="966">
        <f>'Table 3 Levels 1&amp;2'!AL56</f>
        <v>4836.7092570332552</v>
      </c>
      <c r="E55" s="1013">
        <f t="shared" si="2"/>
        <v>0</v>
      </c>
      <c r="F55" s="1013">
        <f>'Table 4 Level 3'!P54</f>
        <v>574.43999999999994</v>
      </c>
      <c r="G55" s="1013">
        <f t="shared" si="3"/>
        <v>0</v>
      </c>
      <c r="H55" s="989">
        <f t="shared" si="4"/>
        <v>0</v>
      </c>
      <c r="I55" s="1023">
        <f t="shared" si="5"/>
        <v>0</v>
      </c>
      <c r="J55" s="989">
        <f t="shared" si="6"/>
        <v>0</v>
      </c>
      <c r="K55" s="989">
        <v>0</v>
      </c>
      <c r="L55" s="989">
        <f t="shared" si="7"/>
        <v>0</v>
      </c>
      <c r="M55" s="989">
        <f t="shared" si="8"/>
        <v>0</v>
      </c>
      <c r="N55" s="981">
        <f>'Table 5C1A-Madison Prep'!N55</f>
        <v>2287</v>
      </c>
      <c r="O55" s="983">
        <f t="shared" si="9"/>
        <v>0</v>
      </c>
      <c r="P55" s="1029">
        <f t="shared" si="10"/>
        <v>0</v>
      </c>
      <c r="Q55" s="983">
        <f t="shared" si="11"/>
        <v>0</v>
      </c>
      <c r="R55" s="983">
        <v>0</v>
      </c>
      <c r="S55" s="983">
        <f t="shared" si="12"/>
        <v>0</v>
      </c>
      <c r="T55" s="983">
        <f t="shared" si="13"/>
        <v>0</v>
      </c>
      <c r="U55" s="984">
        <f t="shared" si="14"/>
        <v>0</v>
      </c>
      <c r="V55" s="984">
        <f t="shared" si="14"/>
        <v>0</v>
      </c>
    </row>
    <row r="56" spans="1:22">
      <c r="A56" s="963">
        <v>50</v>
      </c>
      <c r="B56" s="964" t="s">
        <v>141</v>
      </c>
      <c r="C56" s="1082">
        <v>0</v>
      </c>
      <c r="D56" s="967">
        <f>'Table 3 Levels 1&amp;2'!AL57</f>
        <v>5032.6862895017111</v>
      </c>
      <c r="E56" s="1014">
        <f t="shared" si="2"/>
        <v>0</v>
      </c>
      <c r="F56" s="1014">
        <f>'Table 4 Level 3'!P55</f>
        <v>634.46</v>
      </c>
      <c r="G56" s="1014">
        <f t="shared" si="3"/>
        <v>0</v>
      </c>
      <c r="H56" s="990">
        <f t="shared" si="4"/>
        <v>0</v>
      </c>
      <c r="I56" s="1024">
        <f t="shared" si="5"/>
        <v>0</v>
      </c>
      <c r="J56" s="990">
        <f t="shared" si="6"/>
        <v>0</v>
      </c>
      <c r="K56" s="990">
        <v>0</v>
      </c>
      <c r="L56" s="990">
        <f t="shared" si="7"/>
        <v>0</v>
      </c>
      <c r="M56" s="990">
        <f t="shared" si="8"/>
        <v>0</v>
      </c>
      <c r="N56" s="986">
        <f>'Table 5C1A-Madison Prep'!N56</f>
        <v>2801</v>
      </c>
      <c r="O56" s="987">
        <f t="shared" si="9"/>
        <v>0</v>
      </c>
      <c r="P56" s="1030">
        <f t="shared" si="10"/>
        <v>0</v>
      </c>
      <c r="Q56" s="987">
        <f t="shared" si="11"/>
        <v>0</v>
      </c>
      <c r="R56" s="987">
        <v>0</v>
      </c>
      <c r="S56" s="987">
        <f t="shared" si="12"/>
        <v>0</v>
      </c>
      <c r="T56" s="987">
        <f t="shared" si="13"/>
        <v>0</v>
      </c>
      <c r="U56" s="988">
        <f t="shared" si="14"/>
        <v>0</v>
      </c>
      <c r="V56" s="988">
        <f t="shared" si="14"/>
        <v>0</v>
      </c>
    </row>
    <row r="57" spans="1:22">
      <c r="A57" s="953">
        <v>51</v>
      </c>
      <c r="B57" s="954" t="s">
        <v>142</v>
      </c>
      <c r="C57" s="1083">
        <v>0</v>
      </c>
      <c r="D57" s="968">
        <f>'Table 3 Levels 1&amp;2'!AL58</f>
        <v>4246.0339872793602</v>
      </c>
      <c r="E57" s="1015">
        <f t="shared" si="2"/>
        <v>0</v>
      </c>
      <c r="F57" s="1015">
        <f>'Table 4 Level 3'!P56</f>
        <v>706.66</v>
      </c>
      <c r="G57" s="1015">
        <f t="shared" si="3"/>
        <v>0</v>
      </c>
      <c r="H57" s="991">
        <f t="shared" si="4"/>
        <v>0</v>
      </c>
      <c r="I57" s="1025">
        <f t="shared" si="5"/>
        <v>0</v>
      </c>
      <c r="J57" s="991">
        <f t="shared" si="6"/>
        <v>0</v>
      </c>
      <c r="K57" s="991">
        <v>0</v>
      </c>
      <c r="L57" s="991">
        <f t="shared" si="7"/>
        <v>0</v>
      </c>
      <c r="M57" s="991">
        <f t="shared" si="8"/>
        <v>0</v>
      </c>
      <c r="N57" s="981">
        <f>'Table 5C1A-Madison Prep'!N57</f>
        <v>4215</v>
      </c>
      <c r="O57" s="958">
        <f t="shared" si="9"/>
        <v>0</v>
      </c>
      <c r="P57" s="1028">
        <f t="shared" si="10"/>
        <v>0</v>
      </c>
      <c r="Q57" s="958">
        <f t="shared" si="11"/>
        <v>0</v>
      </c>
      <c r="R57" s="958">
        <v>0</v>
      </c>
      <c r="S57" s="958">
        <f t="shared" si="12"/>
        <v>0</v>
      </c>
      <c r="T57" s="958">
        <f t="shared" si="13"/>
        <v>0</v>
      </c>
      <c r="U57" s="959">
        <f t="shared" si="14"/>
        <v>0</v>
      </c>
      <c r="V57" s="959">
        <f t="shared" si="14"/>
        <v>0</v>
      </c>
    </row>
    <row r="58" spans="1:22">
      <c r="A58" s="960">
        <v>52</v>
      </c>
      <c r="B58" s="961" t="s">
        <v>143</v>
      </c>
      <c r="C58" s="1081">
        <v>0</v>
      </c>
      <c r="D58" s="966">
        <f>'Table 3 Levels 1&amp;2'!AL59</f>
        <v>5013.4438050113249</v>
      </c>
      <c r="E58" s="1013">
        <f t="shared" si="2"/>
        <v>0</v>
      </c>
      <c r="F58" s="1013">
        <f>'Table 4 Level 3'!P57</f>
        <v>658.37</v>
      </c>
      <c r="G58" s="1013">
        <f t="shared" si="3"/>
        <v>0</v>
      </c>
      <c r="H58" s="989">
        <f t="shared" si="4"/>
        <v>0</v>
      </c>
      <c r="I58" s="1023">
        <f t="shared" si="5"/>
        <v>0</v>
      </c>
      <c r="J58" s="989">
        <f t="shared" si="6"/>
        <v>0</v>
      </c>
      <c r="K58" s="989">
        <v>0</v>
      </c>
      <c r="L58" s="989">
        <f t="shared" si="7"/>
        <v>0</v>
      </c>
      <c r="M58" s="989">
        <f t="shared" si="8"/>
        <v>0</v>
      </c>
      <c r="N58" s="981">
        <f>'Table 5C1A-Madison Prep'!N58</f>
        <v>4889</v>
      </c>
      <c r="O58" s="983">
        <f t="shared" si="9"/>
        <v>0</v>
      </c>
      <c r="P58" s="1029">
        <f t="shared" si="10"/>
        <v>0</v>
      </c>
      <c r="Q58" s="983">
        <f t="shared" si="11"/>
        <v>0</v>
      </c>
      <c r="R58" s="983">
        <v>0</v>
      </c>
      <c r="S58" s="983">
        <f t="shared" si="12"/>
        <v>0</v>
      </c>
      <c r="T58" s="983">
        <f t="shared" si="13"/>
        <v>0</v>
      </c>
      <c r="U58" s="984">
        <f t="shared" si="14"/>
        <v>0</v>
      </c>
      <c r="V58" s="984">
        <f t="shared" si="14"/>
        <v>0</v>
      </c>
    </row>
    <row r="59" spans="1:22">
      <c r="A59" s="960">
        <v>53</v>
      </c>
      <c r="B59" s="961" t="s">
        <v>144</v>
      </c>
      <c r="C59" s="1081">
        <v>0</v>
      </c>
      <c r="D59" s="966">
        <f>'Table 3 Levels 1&amp;2'!AL60</f>
        <v>4775.5877635581091</v>
      </c>
      <c r="E59" s="1013">
        <f t="shared" si="2"/>
        <v>0</v>
      </c>
      <c r="F59" s="1013">
        <f>'Table 4 Level 3'!P58</f>
        <v>689.74</v>
      </c>
      <c r="G59" s="1013">
        <f t="shared" si="3"/>
        <v>0</v>
      </c>
      <c r="H59" s="989">
        <f t="shared" si="4"/>
        <v>0</v>
      </c>
      <c r="I59" s="1023">
        <f t="shared" si="5"/>
        <v>0</v>
      </c>
      <c r="J59" s="989">
        <f t="shared" si="6"/>
        <v>0</v>
      </c>
      <c r="K59" s="989">
        <v>0</v>
      </c>
      <c r="L59" s="989">
        <f t="shared" si="7"/>
        <v>0</v>
      </c>
      <c r="M59" s="989">
        <f t="shared" si="8"/>
        <v>0</v>
      </c>
      <c r="N59" s="981">
        <f>'Table 5C1A-Madison Prep'!N59</f>
        <v>2119</v>
      </c>
      <c r="O59" s="983">
        <f t="shared" si="9"/>
        <v>0</v>
      </c>
      <c r="P59" s="1029">
        <f t="shared" si="10"/>
        <v>0</v>
      </c>
      <c r="Q59" s="983">
        <f t="shared" si="11"/>
        <v>0</v>
      </c>
      <c r="R59" s="983">
        <v>0</v>
      </c>
      <c r="S59" s="983">
        <f t="shared" si="12"/>
        <v>0</v>
      </c>
      <c r="T59" s="983">
        <f t="shared" si="13"/>
        <v>0</v>
      </c>
      <c r="U59" s="984">
        <f t="shared" si="14"/>
        <v>0</v>
      </c>
      <c r="V59" s="984">
        <f t="shared" si="14"/>
        <v>0</v>
      </c>
    </row>
    <row r="60" spans="1:22">
      <c r="A60" s="960">
        <v>54</v>
      </c>
      <c r="B60" s="961" t="s">
        <v>145</v>
      </c>
      <c r="C60" s="1081">
        <v>0</v>
      </c>
      <c r="D60" s="966">
        <f>'Table 3 Levels 1&amp;2'!AL61</f>
        <v>5951.8009386275662</v>
      </c>
      <c r="E60" s="1013">
        <f t="shared" si="2"/>
        <v>0</v>
      </c>
      <c r="F60" s="1013">
        <f>'Table 4 Level 3'!P59</f>
        <v>951.45</v>
      </c>
      <c r="G60" s="1013">
        <f t="shared" si="3"/>
        <v>0</v>
      </c>
      <c r="H60" s="989">
        <f t="shared" si="4"/>
        <v>0</v>
      </c>
      <c r="I60" s="1023">
        <f t="shared" si="5"/>
        <v>0</v>
      </c>
      <c r="J60" s="989">
        <f t="shared" si="6"/>
        <v>0</v>
      </c>
      <c r="K60" s="989">
        <v>0</v>
      </c>
      <c r="L60" s="989">
        <f t="shared" si="7"/>
        <v>0</v>
      </c>
      <c r="M60" s="989">
        <f t="shared" si="8"/>
        <v>0</v>
      </c>
      <c r="N60" s="981">
        <f>'Table 5C1A-Madison Prep'!N60</f>
        <v>3690</v>
      </c>
      <c r="O60" s="983">
        <f t="shared" si="9"/>
        <v>0</v>
      </c>
      <c r="P60" s="1029">
        <f t="shared" si="10"/>
        <v>0</v>
      </c>
      <c r="Q60" s="983">
        <f t="shared" si="11"/>
        <v>0</v>
      </c>
      <c r="R60" s="983">
        <v>0</v>
      </c>
      <c r="S60" s="983">
        <f t="shared" si="12"/>
        <v>0</v>
      </c>
      <c r="T60" s="983">
        <f t="shared" si="13"/>
        <v>0</v>
      </c>
      <c r="U60" s="984">
        <f t="shared" si="14"/>
        <v>0</v>
      </c>
      <c r="V60" s="984">
        <f t="shared" si="14"/>
        <v>0</v>
      </c>
    </row>
    <row r="61" spans="1:22">
      <c r="A61" s="963">
        <v>55</v>
      </c>
      <c r="B61" s="964" t="s">
        <v>146</v>
      </c>
      <c r="C61" s="1082">
        <v>0</v>
      </c>
      <c r="D61" s="967">
        <f>'Table 3 Levels 1&amp;2'!AL62</f>
        <v>4171.0434735233157</v>
      </c>
      <c r="E61" s="1014">
        <f t="shared" si="2"/>
        <v>0</v>
      </c>
      <c r="F61" s="1014">
        <f>'Table 4 Level 3'!P60</f>
        <v>795.14</v>
      </c>
      <c r="G61" s="1014">
        <f t="shared" si="3"/>
        <v>0</v>
      </c>
      <c r="H61" s="990">
        <f t="shared" si="4"/>
        <v>0</v>
      </c>
      <c r="I61" s="1024">
        <f t="shared" si="5"/>
        <v>0</v>
      </c>
      <c r="J61" s="990">
        <f t="shared" si="6"/>
        <v>0</v>
      </c>
      <c r="K61" s="990">
        <v>0</v>
      </c>
      <c r="L61" s="990">
        <f t="shared" si="7"/>
        <v>0</v>
      </c>
      <c r="M61" s="990">
        <f t="shared" si="8"/>
        <v>0</v>
      </c>
      <c r="N61" s="986">
        <f>'Table 5C1A-Madison Prep'!N61</f>
        <v>3157</v>
      </c>
      <c r="O61" s="987">
        <f t="shared" si="9"/>
        <v>0</v>
      </c>
      <c r="P61" s="1030">
        <f t="shared" si="10"/>
        <v>0</v>
      </c>
      <c r="Q61" s="987">
        <f t="shared" si="11"/>
        <v>0</v>
      </c>
      <c r="R61" s="987">
        <v>0</v>
      </c>
      <c r="S61" s="987">
        <f t="shared" si="12"/>
        <v>0</v>
      </c>
      <c r="T61" s="987">
        <f t="shared" si="13"/>
        <v>0</v>
      </c>
      <c r="U61" s="988">
        <f t="shared" si="14"/>
        <v>0</v>
      </c>
      <c r="V61" s="988">
        <f t="shared" si="14"/>
        <v>0</v>
      </c>
    </row>
    <row r="62" spans="1:22">
      <c r="A62" s="953">
        <v>56</v>
      </c>
      <c r="B62" s="954" t="s">
        <v>147</v>
      </c>
      <c r="C62" s="1083">
        <v>0</v>
      </c>
      <c r="D62" s="968">
        <f>'Table 3 Levels 1&amp;2'!AL63</f>
        <v>4968.593189672727</v>
      </c>
      <c r="E62" s="1015">
        <f t="shared" si="2"/>
        <v>0</v>
      </c>
      <c r="F62" s="1015">
        <f>'Table 4 Level 3'!P61</f>
        <v>614.66000000000008</v>
      </c>
      <c r="G62" s="1015">
        <f t="shared" si="3"/>
        <v>0</v>
      </c>
      <c r="H62" s="991">
        <f t="shared" si="4"/>
        <v>0</v>
      </c>
      <c r="I62" s="1025">
        <f t="shared" si="5"/>
        <v>0</v>
      </c>
      <c r="J62" s="991">
        <f t="shared" si="6"/>
        <v>0</v>
      </c>
      <c r="K62" s="991">
        <v>0</v>
      </c>
      <c r="L62" s="991">
        <f t="shared" si="7"/>
        <v>0</v>
      </c>
      <c r="M62" s="991">
        <f t="shared" si="8"/>
        <v>0</v>
      </c>
      <c r="N62" s="981">
        <f>'Table 5C1A-Madison Prep'!N62</f>
        <v>2779</v>
      </c>
      <c r="O62" s="958">
        <f t="shared" si="9"/>
        <v>0</v>
      </c>
      <c r="P62" s="1028">
        <f t="shared" si="10"/>
        <v>0</v>
      </c>
      <c r="Q62" s="958">
        <f t="shared" si="11"/>
        <v>0</v>
      </c>
      <c r="R62" s="958">
        <v>0</v>
      </c>
      <c r="S62" s="958">
        <f t="shared" si="12"/>
        <v>0</v>
      </c>
      <c r="T62" s="958">
        <f t="shared" si="13"/>
        <v>0</v>
      </c>
      <c r="U62" s="959">
        <f t="shared" si="14"/>
        <v>0</v>
      </c>
      <c r="V62" s="959">
        <f t="shared" si="14"/>
        <v>0</v>
      </c>
    </row>
    <row r="63" spans="1:22">
      <c r="A63" s="960">
        <v>57</v>
      </c>
      <c r="B63" s="961" t="s">
        <v>148</v>
      </c>
      <c r="C63" s="1081">
        <v>0</v>
      </c>
      <c r="D63" s="966">
        <f>'Table 3 Levels 1&amp;2'!AL64</f>
        <v>4485.7073020218859</v>
      </c>
      <c r="E63" s="1013">
        <f t="shared" si="2"/>
        <v>0</v>
      </c>
      <c r="F63" s="1013">
        <f>'Table 4 Level 3'!P62</f>
        <v>764.51</v>
      </c>
      <c r="G63" s="1013">
        <f t="shared" si="3"/>
        <v>0</v>
      </c>
      <c r="H63" s="989">
        <f t="shared" si="4"/>
        <v>0</v>
      </c>
      <c r="I63" s="1023">
        <f t="shared" si="5"/>
        <v>0</v>
      </c>
      <c r="J63" s="989">
        <f t="shared" si="6"/>
        <v>0</v>
      </c>
      <c r="K63" s="989">
        <v>0</v>
      </c>
      <c r="L63" s="989">
        <f t="shared" si="7"/>
        <v>0</v>
      </c>
      <c r="M63" s="989">
        <f t="shared" si="8"/>
        <v>0</v>
      </c>
      <c r="N63" s="981">
        <f>'Table 5C1A-Madison Prep'!N63</f>
        <v>3107</v>
      </c>
      <c r="O63" s="983">
        <f t="shared" si="9"/>
        <v>0</v>
      </c>
      <c r="P63" s="1029">
        <f t="shared" si="10"/>
        <v>0</v>
      </c>
      <c r="Q63" s="983">
        <f t="shared" si="11"/>
        <v>0</v>
      </c>
      <c r="R63" s="983">
        <v>0</v>
      </c>
      <c r="S63" s="983">
        <f t="shared" si="12"/>
        <v>0</v>
      </c>
      <c r="T63" s="983">
        <f t="shared" si="13"/>
        <v>0</v>
      </c>
      <c r="U63" s="984">
        <f t="shared" si="14"/>
        <v>0</v>
      </c>
      <c r="V63" s="984">
        <f t="shared" si="14"/>
        <v>0</v>
      </c>
    </row>
    <row r="64" spans="1:22">
      <c r="A64" s="960">
        <v>58</v>
      </c>
      <c r="B64" s="961" t="s">
        <v>149</v>
      </c>
      <c r="C64" s="1081">
        <v>0</v>
      </c>
      <c r="D64" s="966">
        <f>'Table 3 Levels 1&amp;2'!AL65</f>
        <v>5457.8662803476354</v>
      </c>
      <c r="E64" s="1013">
        <f t="shared" si="2"/>
        <v>0</v>
      </c>
      <c r="F64" s="1013">
        <f>'Table 4 Level 3'!P63</f>
        <v>697.04</v>
      </c>
      <c r="G64" s="1013">
        <f t="shared" si="3"/>
        <v>0</v>
      </c>
      <c r="H64" s="989">
        <f t="shared" si="4"/>
        <v>0</v>
      </c>
      <c r="I64" s="1023">
        <f t="shared" si="5"/>
        <v>0</v>
      </c>
      <c r="J64" s="989">
        <f t="shared" si="6"/>
        <v>0</v>
      </c>
      <c r="K64" s="989">
        <v>0</v>
      </c>
      <c r="L64" s="989">
        <f t="shared" si="7"/>
        <v>0</v>
      </c>
      <c r="M64" s="989">
        <f t="shared" si="8"/>
        <v>0</v>
      </c>
      <c r="N64" s="981">
        <f>'Table 5C1A-Madison Prep'!N64</f>
        <v>2105</v>
      </c>
      <c r="O64" s="983">
        <f t="shared" si="9"/>
        <v>0</v>
      </c>
      <c r="P64" s="1029">
        <f t="shared" si="10"/>
        <v>0</v>
      </c>
      <c r="Q64" s="983">
        <f t="shared" si="11"/>
        <v>0</v>
      </c>
      <c r="R64" s="983">
        <v>0</v>
      </c>
      <c r="S64" s="983">
        <f t="shared" si="12"/>
        <v>0</v>
      </c>
      <c r="T64" s="983">
        <f t="shared" si="13"/>
        <v>0</v>
      </c>
      <c r="U64" s="984">
        <f t="shared" si="14"/>
        <v>0</v>
      </c>
      <c r="V64" s="984">
        <f t="shared" si="14"/>
        <v>0</v>
      </c>
    </row>
    <row r="65" spans="1:22">
      <c r="A65" s="960">
        <v>59</v>
      </c>
      <c r="B65" s="961" t="s">
        <v>150</v>
      </c>
      <c r="C65" s="1081">
        <v>0</v>
      </c>
      <c r="D65" s="966">
        <f>'Table 3 Levels 1&amp;2'!AL66</f>
        <v>6274.2786338006481</v>
      </c>
      <c r="E65" s="1013">
        <f t="shared" si="2"/>
        <v>0</v>
      </c>
      <c r="F65" s="1013">
        <f>'Table 4 Level 3'!P64</f>
        <v>689.52</v>
      </c>
      <c r="G65" s="1013">
        <f t="shared" si="3"/>
        <v>0</v>
      </c>
      <c r="H65" s="989">
        <f t="shared" si="4"/>
        <v>0</v>
      </c>
      <c r="I65" s="1023">
        <f t="shared" si="5"/>
        <v>0</v>
      </c>
      <c r="J65" s="989">
        <f t="shared" si="6"/>
        <v>0</v>
      </c>
      <c r="K65" s="989">
        <v>0</v>
      </c>
      <c r="L65" s="989">
        <f t="shared" si="7"/>
        <v>0</v>
      </c>
      <c r="M65" s="989">
        <f t="shared" si="8"/>
        <v>0</v>
      </c>
      <c r="N65" s="981">
        <f>'Table 5C1A-Madison Prep'!N65</f>
        <v>1510</v>
      </c>
      <c r="O65" s="983">
        <f t="shared" si="9"/>
        <v>0</v>
      </c>
      <c r="P65" s="1029">
        <f t="shared" si="10"/>
        <v>0</v>
      </c>
      <c r="Q65" s="983">
        <f t="shared" si="11"/>
        <v>0</v>
      </c>
      <c r="R65" s="983">
        <v>0</v>
      </c>
      <c r="S65" s="983">
        <f t="shared" si="12"/>
        <v>0</v>
      </c>
      <c r="T65" s="983">
        <f t="shared" si="13"/>
        <v>0</v>
      </c>
      <c r="U65" s="984">
        <f t="shared" si="14"/>
        <v>0</v>
      </c>
      <c r="V65" s="984">
        <f t="shared" si="14"/>
        <v>0</v>
      </c>
    </row>
    <row r="66" spans="1:22">
      <c r="A66" s="963">
        <v>60</v>
      </c>
      <c r="B66" s="964" t="s">
        <v>151</v>
      </c>
      <c r="C66" s="1082">
        <v>0</v>
      </c>
      <c r="D66" s="967">
        <f>'Table 3 Levels 1&amp;2'!AL67</f>
        <v>4940.9166775610411</v>
      </c>
      <c r="E66" s="1014">
        <f t="shared" si="2"/>
        <v>0</v>
      </c>
      <c r="F66" s="1014">
        <f>'Table 4 Level 3'!P65</f>
        <v>594.04</v>
      </c>
      <c r="G66" s="1014">
        <f t="shared" si="3"/>
        <v>0</v>
      </c>
      <c r="H66" s="990">
        <f t="shared" si="4"/>
        <v>0</v>
      </c>
      <c r="I66" s="1024">
        <f t="shared" si="5"/>
        <v>0</v>
      </c>
      <c r="J66" s="990">
        <f t="shared" si="6"/>
        <v>0</v>
      </c>
      <c r="K66" s="990">
        <v>0</v>
      </c>
      <c r="L66" s="990">
        <f t="shared" si="7"/>
        <v>0</v>
      </c>
      <c r="M66" s="990">
        <f t="shared" si="8"/>
        <v>0</v>
      </c>
      <c r="N66" s="986">
        <f>'Table 5C1A-Madison Prep'!N66</f>
        <v>3793</v>
      </c>
      <c r="O66" s="987">
        <f t="shared" si="9"/>
        <v>0</v>
      </c>
      <c r="P66" s="1030">
        <f t="shared" si="10"/>
        <v>0</v>
      </c>
      <c r="Q66" s="987">
        <f t="shared" si="11"/>
        <v>0</v>
      </c>
      <c r="R66" s="987">
        <v>0</v>
      </c>
      <c r="S66" s="987">
        <f t="shared" si="12"/>
        <v>0</v>
      </c>
      <c r="T66" s="987">
        <f t="shared" si="13"/>
        <v>0</v>
      </c>
      <c r="U66" s="988">
        <f t="shared" si="14"/>
        <v>0</v>
      </c>
      <c r="V66" s="988">
        <f t="shared" si="14"/>
        <v>0</v>
      </c>
    </row>
    <row r="67" spans="1:22">
      <c r="A67" s="953">
        <v>61</v>
      </c>
      <c r="B67" s="954" t="s">
        <v>152</v>
      </c>
      <c r="C67" s="1083">
        <v>0</v>
      </c>
      <c r="D67" s="968">
        <f>'Table 3 Levels 1&amp;2'!AL68</f>
        <v>2908.0344869339228</v>
      </c>
      <c r="E67" s="1015">
        <f t="shared" si="2"/>
        <v>0</v>
      </c>
      <c r="F67" s="1015">
        <f>'Table 4 Level 3'!P66</f>
        <v>833.70999999999992</v>
      </c>
      <c r="G67" s="1015">
        <f t="shared" si="3"/>
        <v>0</v>
      </c>
      <c r="H67" s="991">
        <f t="shared" si="4"/>
        <v>0</v>
      </c>
      <c r="I67" s="1025">
        <f t="shared" si="5"/>
        <v>0</v>
      </c>
      <c r="J67" s="991">
        <f t="shared" si="6"/>
        <v>0</v>
      </c>
      <c r="K67" s="991">
        <v>0</v>
      </c>
      <c r="L67" s="991">
        <f t="shared" si="7"/>
        <v>0</v>
      </c>
      <c r="M67" s="991">
        <f t="shared" si="8"/>
        <v>0</v>
      </c>
      <c r="N67" s="981">
        <f>'Table 5C1A-Madison Prep'!N67</f>
        <v>6570</v>
      </c>
      <c r="O67" s="958">
        <f t="shared" si="9"/>
        <v>0</v>
      </c>
      <c r="P67" s="1028">
        <f t="shared" si="10"/>
        <v>0</v>
      </c>
      <c r="Q67" s="958">
        <f t="shared" si="11"/>
        <v>0</v>
      </c>
      <c r="R67" s="958">
        <v>0</v>
      </c>
      <c r="S67" s="958">
        <f t="shared" si="12"/>
        <v>0</v>
      </c>
      <c r="T67" s="958">
        <f t="shared" si="13"/>
        <v>0</v>
      </c>
      <c r="U67" s="959">
        <f t="shared" si="14"/>
        <v>0</v>
      </c>
      <c r="V67" s="959">
        <f t="shared" si="14"/>
        <v>0</v>
      </c>
    </row>
    <row r="68" spans="1:22">
      <c r="A68" s="960">
        <v>62</v>
      </c>
      <c r="B68" s="961" t="s">
        <v>153</v>
      </c>
      <c r="C68" s="1081">
        <v>0</v>
      </c>
      <c r="D68" s="966">
        <f>'Table 3 Levels 1&amp;2'!AL69</f>
        <v>5652.1730736722093</v>
      </c>
      <c r="E68" s="1013">
        <f t="shared" si="2"/>
        <v>0</v>
      </c>
      <c r="F68" s="1013">
        <f>'Table 4 Level 3'!P67</f>
        <v>516.08000000000004</v>
      </c>
      <c r="G68" s="1013">
        <f t="shared" si="3"/>
        <v>0</v>
      </c>
      <c r="H68" s="989">
        <f t="shared" si="4"/>
        <v>0</v>
      </c>
      <c r="I68" s="1023">
        <f t="shared" si="5"/>
        <v>0</v>
      </c>
      <c r="J68" s="989">
        <f t="shared" si="6"/>
        <v>0</v>
      </c>
      <c r="K68" s="989">
        <v>0</v>
      </c>
      <c r="L68" s="989">
        <f t="shared" si="7"/>
        <v>0</v>
      </c>
      <c r="M68" s="989">
        <f t="shared" si="8"/>
        <v>0</v>
      </c>
      <c r="N68" s="981">
        <f>'Table 5C1A-Madison Prep'!N68</f>
        <v>1934</v>
      </c>
      <c r="O68" s="983">
        <f t="shared" si="9"/>
        <v>0</v>
      </c>
      <c r="P68" s="1029">
        <f t="shared" si="10"/>
        <v>0</v>
      </c>
      <c r="Q68" s="983">
        <f t="shared" si="11"/>
        <v>0</v>
      </c>
      <c r="R68" s="983">
        <v>0</v>
      </c>
      <c r="S68" s="983">
        <f t="shared" si="12"/>
        <v>0</v>
      </c>
      <c r="T68" s="983">
        <f t="shared" si="13"/>
        <v>0</v>
      </c>
      <c r="U68" s="984">
        <f t="shared" si="14"/>
        <v>0</v>
      </c>
      <c r="V68" s="984">
        <f t="shared" si="14"/>
        <v>0</v>
      </c>
    </row>
    <row r="69" spans="1:22">
      <c r="A69" s="960">
        <v>63</v>
      </c>
      <c r="B69" s="961" t="s">
        <v>154</v>
      </c>
      <c r="C69" s="1081">
        <v>0</v>
      </c>
      <c r="D69" s="966">
        <f>'Table 3 Levels 1&amp;2'!AL70</f>
        <v>4362.300753810403</v>
      </c>
      <c r="E69" s="1013">
        <f t="shared" si="2"/>
        <v>0</v>
      </c>
      <c r="F69" s="1013">
        <f>'Table 4 Level 3'!P68</f>
        <v>756.79</v>
      </c>
      <c r="G69" s="1013">
        <f t="shared" si="3"/>
        <v>0</v>
      </c>
      <c r="H69" s="989">
        <f t="shared" si="4"/>
        <v>0</v>
      </c>
      <c r="I69" s="1023">
        <f t="shared" si="5"/>
        <v>0</v>
      </c>
      <c r="J69" s="989">
        <f t="shared" si="6"/>
        <v>0</v>
      </c>
      <c r="K69" s="989">
        <v>0</v>
      </c>
      <c r="L69" s="989">
        <f t="shared" si="7"/>
        <v>0</v>
      </c>
      <c r="M69" s="989">
        <f t="shared" si="8"/>
        <v>0</v>
      </c>
      <c r="N69" s="981">
        <f>'Table 5C1A-Madison Prep'!N69</f>
        <v>6787</v>
      </c>
      <c r="O69" s="983">
        <f t="shared" si="9"/>
        <v>0</v>
      </c>
      <c r="P69" s="1029">
        <f t="shared" si="10"/>
        <v>0</v>
      </c>
      <c r="Q69" s="983">
        <f t="shared" si="11"/>
        <v>0</v>
      </c>
      <c r="R69" s="983">
        <v>0</v>
      </c>
      <c r="S69" s="983">
        <f t="shared" si="12"/>
        <v>0</v>
      </c>
      <c r="T69" s="983">
        <f t="shared" si="13"/>
        <v>0</v>
      </c>
      <c r="U69" s="984">
        <f t="shared" si="14"/>
        <v>0</v>
      </c>
      <c r="V69" s="984">
        <f t="shared" si="14"/>
        <v>0</v>
      </c>
    </row>
    <row r="70" spans="1:22">
      <c r="A70" s="960">
        <v>64</v>
      </c>
      <c r="B70" s="961" t="s">
        <v>155</v>
      </c>
      <c r="C70" s="1081">
        <v>0</v>
      </c>
      <c r="D70" s="966">
        <f>'Table 3 Levels 1&amp;2'!AL71</f>
        <v>5960.2049072003338</v>
      </c>
      <c r="E70" s="1013">
        <f t="shared" si="2"/>
        <v>0</v>
      </c>
      <c r="F70" s="1013">
        <f>'Table 4 Level 3'!P69</f>
        <v>592.66</v>
      </c>
      <c r="G70" s="1013">
        <f t="shared" si="3"/>
        <v>0</v>
      </c>
      <c r="H70" s="989">
        <f t="shared" si="4"/>
        <v>0</v>
      </c>
      <c r="I70" s="1023">
        <f t="shared" si="5"/>
        <v>0</v>
      </c>
      <c r="J70" s="989">
        <f t="shared" si="6"/>
        <v>0</v>
      </c>
      <c r="K70" s="989">
        <v>0</v>
      </c>
      <c r="L70" s="989">
        <f t="shared" si="7"/>
        <v>0</v>
      </c>
      <c r="M70" s="989">
        <f t="shared" si="8"/>
        <v>0</v>
      </c>
      <c r="N70" s="981">
        <f>'Table 5C1A-Madison Prep'!N70</f>
        <v>2901</v>
      </c>
      <c r="O70" s="983">
        <f t="shared" si="9"/>
        <v>0</v>
      </c>
      <c r="P70" s="1029">
        <f t="shared" si="10"/>
        <v>0</v>
      </c>
      <c r="Q70" s="983">
        <f t="shared" si="11"/>
        <v>0</v>
      </c>
      <c r="R70" s="983">
        <v>0</v>
      </c>
      <c r="S70" s="983">
        <f t="shared" si="12"/>
        <v>0</v>
      </c>
      <c r="T70" s="983">
        <f t="shared" si="13"/>
        <v>0</v>
      </c>
      <c r="U70" s="984">
        <f t="shared" si="14"/>
        <v>0</v>
      </c>
      <c r="V70" s="984">
        <f t="shared" si="14"/>
        <v>0</v>
      </c>
    </row>
    <row r="71" spans="1:22">
      <c r="A71" s="963">
        <v>65</v>
      </c>
      <c r="B71" s="964" t="s">
        <v>156</v>
      </c>
      <c r="C71" s="1082">
        <v>0</v>
      </c>
      <c r="D71" s="967">
        <f>'Table 3 Levels 1&amp;2'!AL72</f>
        <v>4579.2772303106676</v>
      </c>
      <c r="E71" s="1014">
        <f t="shared" si="2"/>
        <v>0</v>
      </c>
      <c r="F71" s="1014">
        <f>'Table 4 Level 3'!P70</f>
        <v>829.12</v>
      </c>
      <c r="G71" s="1014">
        <f t="shared" si="3"/>
        <v>0</v>
      </c>
      <c r="H71" s="990">
        <f t="shared" si="4"/>
        <v>0</v>
      </c>
      <c r="I71" s="1024">
        <f t="shared" si="5"/>
        <v>0</v>
      </c>
      <c r="J71" s="990">
        <f t="shared" si="6"/>
        <v>0</v>
      </c>
      <c r="K71" s="990">
        <v>0</v>
      </c>
      <c r="L71" s="990">
        <f t="shared" si="7"/>
        <v>0</v>
      </c>
      <c r="M71" s="990">
        <f t="shared" si="8"/>
        <v>0</v>
      </c>
      <c r="N71" s="986">
        <f>'Table 5C1A-Madison Prep'!N71</f>
        <v>5001</v>
      </c>
      <c r="O71" s="987">
        <f t="shared" si="9"/>
        <v>0</v>
      </c>
      <c r="P71" s="1030">
        <f t="shared" si="10"/>
        <v>0</v>
      </c>
      <c r="Q71" s="987">
        <f t="shared" si="11"/>
        <v>0</v>
      </c>
      <c r="R71" s="987">
        <v>0</v>
      </c>
      <c r="S71" s="987">
        <f t="shared" si="12"/>
        <v>0</v>
      </c>
      <c r="T71" s="987">
        <f t="shared" si="13"/>
        <v>0</v>
      </c>
      <c r="U71" s="988">
        <f t="shared" si="14"/>
        <v>0</v>
      </c>
      <c r="V71" s="988">
        <f t="shared" si="14"/>
        <v>0</v>
      </c>
    </row>
    <row r="72" spans="1:22">
      <c r="A72" s="953">
        <v>66</v>
      </c>
      <c r="B72" s="954" t="s">
        <v>157</v>
      </c>
      <c r="C72" s="1083">
        <v>0</v>
      </c>
      <c r="D72" s="968">
        <f>'Table 3 Levels 1&amp;2'!AL73</f>
        <v>6370.8108195713585</v>
      </c>
      <c r="E72" s="1015">
        <f t="shared" ref="E72:E75" si="15">C72*D72</f>
        <v>0</v>
      </c>
      <c r="F72" s="1015">
        <f>'Table 4 Level 3'!P71</f>
        <v>730.06</v>
      </c>
      <c r="G72" s="1015">
        <f t="shared" ref="G72:G75" si="16">C72*F72</f>
        <v>0</v>
      </c>
      <c r="H72" s="991">
        <f t="shared" ref="H72:H75" si="17">E72+G72</f>
        <v>0</v>
      </c>
      <c r="I72" s="1025">
        <f t="shared" ref="I72:I75" si="18">-(0.25%*H72)</f>
        <v>0</v>
      </c>
      <c r="J72" s="991">
        <f t="shared" ref="J72:J75" si="19">SUM(H72:I72)</f>
        <v>0</v>
      </c>
      <c r="K72" s="991">
        <v>0</v>
      </c>
      <c r="L72" s="991">
        <f t="shared" ref="L72:L75" si="20">SUM(J72:K72)</f>
        <v>0</v>
      </c>
      <c r="M72" s="991">
        <f t="shared" ref="M72:M75" si="21">L72/12</f>
        <v>0</v>
      </c>
      <c r="N72" s="981">
        <f>'Table 5C1A-Madison Prep'!N72</f>
        <v>3415</v>
      </c>
      <c r="O72" s="958">
        <f t="shared" ref="O72:O75" si="22">C72*N72</f>
        <v>0</v>
      </c>
      <c r="P72" s="1028">
        <f t="shared" ref="P72:P75" si="23">-(0.25%*O72)</f>
        <v>0</v>
      </c>
      <c r="Q72" s="958">
        <f t="shared" ref="Q72:Q75" si="24">SUM(O72:P72)</f>
        <v>0</v>
      </c>
      <c r="R72" s="958">
        <v>0</v>
      </c>
      <c r="S72" s="958">
        <f t="shared" ref="S72:S75" si="25">SUM(Q72:R72)</f>
        <v>0</v>
      </c>
      <c r="T72" s="958">
        <f t="shared" ref="T72:T75" si="26">S72/12</f>
        <v>0</v>
      </c>
      <c r="U72" s="959">
        <f t="shared" ref="U72:V75" si="27">L72+S72</f>
        <v>0</v>
      </c>
      <c r="V72" s="959">
        <f t="shared" si="27"/>
        <v>0</v>
      </c>
    </row>
    <row r="73" spans="1:22">
      <c r="A73" s="960">
        <v>67</v>
      </c>
      <c r="B73" s="961" t="s">
        <v>32</v>
      </c>
      <c r="C73" s="1081">
        <v>0</v>
      </c>
      <c r="D73" s="966">
        <f>'Table 3 Levels 1&amp;2'!AL74</f>
        <v>4951.6009932106244</v>
      </c>
      <c r="E73" s="1013">
        <f t="shared" si="15"/>
        <v>0</v>
      </c>
      <c r="F73" s="1013">
        <f>'Table 4 Level 3'!P72</f>
        <v>715.61</v>
      </c>
      <c r="G73" s="1013">
        <f t="shared" si="16"/>
        <v>0</v>
      </c>
      <c r="H73" s="989">
        <f t="shared" si="17"/>
        <v>0</v>
      </c>
      <c r="I73" s="1023">
        <f t="shared" si="18"/>
        <v>0</v>
      </c>
      <c r="J73" s="989">
        <f t="shared" si="19"/>
        <v>0</v>
      </c>
      <c r="K73" s="989">
        <v>0</v>
      </c>
      <c r="L73" s="989">
        <f t="shared" si="20"/>
        <v>0</v>
      </c>
      <c r="M73" s="989">
        <f t="shared" si="21"/>
        <v>0</v>
      </c>
      <c r="N73" s="981">
        <f>'Table 5C1A-Madison Prep'!N73</f>
        <v>5221</v>
      </c>
      <c r="O73" s="983">
        <f t="shared" si="22"/>
        <v>0</v>
      </c>
      <c r="P73" s="1029">
        <f t="shared" si="23"/>
        <v>0</v>
      </c>
      <c r="Q73" s="983">
        <f t="shared" si="24"/>
        <v>0</v>
      </c>
      <c r="R73" s="983">
        <v>0</v>
      </c>
      <c r="S73" s="983">
        <f t="shared" si="25"/>
        <v>0</v>
      </c>
      <c r="T73" s="983">
        <f t="shared" si="26"/>
        <v>0</v>
      </c>
      <c r="U73" s="984">
        <f t="shared" si="27"/>
        <v>0</v>
      </c>
      <c r="V73" s="984">
        <f t="shared" si="27"/>
        <v>0</v>
      </c>
    </row>
    <row r="74" spans="1:22">
      <c r="A74" s="960">
        <v>68</v>
      </c>
      <c r="B74" s="961" t="s">
        <v>30</v>
      </c>
      <c r="C74" s="1081">
        <v>0</v>
      </c>
      <c r="D74" s="966">
        <f>'Table 3 Levels 1&amp;2'!AL75</f>
        <v>6077.2398733698947</v>
      </c>
      <c r="E74" s="1013">
        <f t="shared" si="15"/>
        <v>0</v>
      </c>
      <c r="F74" s="1013">
        <f>'Table 4 Level 3'!P73</f>
        <v>798.7</v>
      </c>
      <c r="G74" s="1013">
        <f t="shared" si="16"/>
        <v>0</v>
      </c>
      <c r="H74" s="989">
        <f t="shared" si="17"/>
        <v>0</v>
      </c>
      <c r="I74" s="1023">
        <f t="shared" si="18"/>
        <v>0</v>
      </c>
      <c r="J74" s="989">
        <f t="shared" si="19"/>
        <v>0</v>
      </c>
      <c r="K74" s="989">
        <v>0</v>
      </c>
      <c r="L74" s="989">
        <f t="shared" si="20"/>
        <v>0</v>
      </c>
      <c r="M74" s="989">
        <f t="shared" si="21"/>
        <v>0</v>
      </c>
      <c r="N74" s="981">
        <f>'Table 5C1A-Madison Prep'!N74</f>
        <v>2680</v>
      </c>
      <c r="O74" s="983">
        <f t="shared" si="22"/>
        <v>0</v>
      </c>
      <c r="P74" s="1029">
        <f t="shared" si="23"/>
        <v>0</v>
      </c>
      <c r="Q74" s="983">
        <f t="shared" si="24"/>
        <v>0</v>
      </c>
      <c r="R74" s="983">
        <v>0</v>
      </c>
      <c r="S74" s="983">
        <f t="shared" si="25"/>
        <v>0</v>
      </c>
      <c r="T74" s="983">
        <f t="shared" si="26"/>
        <v>0</v>
      </c>
      <c r="U74" s="984">
        <f t="shared" si="27"/>
        <v>0</v>
      </c>
      <c r="V74" s="984">
        <f t="shared" si="27"/>
        <v>0</v>
      </c>
    </row>
    <row r="75" spans="1:22">
      <c r="A75" s="969">
        <v>69</v>
      </c>
      <c r="B75" s="970" t="s">
        <v>208</v>
      </c>
      <c r="C75" s="1084">
        <v>0</v>
      </c>
      <c r="D75" s="971">
        <f>'Table 3 Levels 1&amp;2'!AL76</f>
        <v>5585.8253106686579</v>
      </c>
      <c r="E75" s="1016">
        <f t="shared" si="15"/>
        <v>0</v>
      </c>
      <c r="F75" s="1016">
        <f>'Table 4 Level 3'!P74</f>
        <v>705.67</v>
      </c>
      <c r="G75" s="1016">
        <f t="shared" si="16"/>
        <v>0</v>
      </c>
      <c r="H75" s="992">
        <f t="shared" si="17"/>
        <v>0</v>
      </c>
      <c r="I75" s="1026">
        <f t="shared" si="18"/>
        <v>0</v>
      </c>
      <c r="J75" s="992">
        <f t="shared" si="19"/>
        <v>0</v>
      </c>
      <c r="K75" s="992">
        <v>0</v>
      </c>
      <c r="L75" s="992">
        <f t="shared" si="20"/>
        <v>0</v>
      </c>
      <c r="M75" s="992">
        <f t="shared" si="21"/>
        <v>0</v>
      </c>
      <c r="N75" s="981">
        <f>'Table 5C1A-Madison Prep'!N75</f>
        <v>3263</v>
      </c>
      <c r="O75" s="993">
        <f t="shared" si="22"/>
        <v>0</v>
      </c>
      <c r="P75" s="1031">
        <f t="shared" si="23"/>
        <v>0</v>
      </c>
      <c r="Q75" s="993">
        <f t="shared" si="24"/>
        <v>0</v>
      </c>
      <c r="R75" s="993">
        <v>0</v>
      </c>
      <c r="S75" s="993">
        <f t="shared" si="25"/>
        <v>0</v>
      </c>
      <c r="T75" s="993">
        <f t="shared" si="26"/>
        <v>0</v>
      </c>
      <c r="U75" s="994">
        <f t="shared" si="27"/>
        <v>0</v>
      </c>
      <c r="V75" s="994">
        <f t="shared" si="27"/>
        <v>0</v>
      </c>
    </row>
    <row r="76" spans="1:22" ht="13.5" thickBot="1">
      <c r="A76" s="972"/>
      <c r="B76" s="973" t="s">
        <v>158</v>
      </c>
      <c r="C76" s="974">
        <f>SUM(C7:C75)</f>
        <v>100</v>
      </c>
      <c r="D76" s="975"/>
      <c r="E76" s="1017">
        <f>SUM(E7:E75)</f>
        <v>332490.63385625195</v>
      </c>
      <c r="F76" s="1017">
        <f>'[17]Table 4 Level 3'!P75</f>
        <v>703.90028204588873</v>
      </c>
      <c r="G76" s="1017">
        <f t="shared" ref="G76:L76" si="28">SUM(G7:G75)</f>
        <v>82542.267808219171</v>
      </c>
      <c r="H76" s="976">
        <f t="shared" si="28"/>
        <v>415032.9016644712</v>
      </c>
      <c r="I76" s="1027">
        <f t="shared" si="28"/>
        <v>-1037.5822541611781</v>
      </c>
      <c r="J76" s="976">
        <f t="shared" si="28"/>
        <v>413995.31941031001</v>
      </c>
      <c r="K76" s="976">
        <f t="shared" si="28"/>
        <v>0</v>
      </c>
      <c r="L76" s="976">
        <f t="shared" si="28"/>
        <v>413995.31941031001</v>
      </c>
      <c r="M76" s="976">
        <f>SUM(M7:M75)</f>
        <v>34499.609950859165</v>
      </c>
      <c r="N76" s="995">
        <f>'Table 5C1A-Madison Prep'!N76</f>
        <v>4503</v>
      </c>
      <c r="O76" s="977">
        <f t="shared" ref="O76:V76" si="29">SUM(O7:O75)</f>
        <v>540557</v>
      </c>
      <c r="P76" s="1032">
        <f t="shared" si="29"/>
        <v>-1351.3925000000002</v>
      </c>
      <c r="Q76" s="977">
        <f t="shared" si="29"/>
        <v>539205.60749999993</v>
      </c>
      <c r="R76" s="977">
        <f t="shared" si="29"/>
        <v>0</v>
      </c>
      <c r="S76" s="977">
        <f t="shared" si="29"/>
        <v>539205.60749999993</v>
      </c>
      <c r="T76" s="977">
        <f t="shared" si="29"/>
        <v>44933.800625000011</v>
      </c>
      <c r="U76" s="978">
        <f t="shared" si="29"/>
        <v>953200.92691030994</v>
      </c>
      <c r="V76" s="978">
        <f t="shared" si="29"/>
        <v>79433.410575859176</v>
      </c>
    </row>
    <row r="77" spans="1:22" ht="13.5" thickTop="1"/>
  </sheetData>
  <mergeCells count="19">
    <mergeCell ref="U2:U4"/>
    <mergeCell ref="V2:V4"/>
    <mergeCell ref="C3:C4"/>
    <mergeCell ref="D3:D4"/>
    <mergeCell ref="E3:E4"/>
    <mergeCell ref="F3:F4"/>
    <mergeCell ref="G3:G4"/>
    <mergeCell ref="Q3:Q4"/>
    <mergeCell ref="R3:R4"/>
    <mergeCell ref="S3:S4"/>
    <mergeCell ref="H3:H4"/>
    <mergeCell ref="J3:J4"/>
    <mergeCell ref="K3:K4"/>
    <mergeCell ref="L3:L4"/>
    <mergeCell ref="M3:M4"/>
    <mergeCell ref="N3:N4"/>
    <mergeCell ref="A2:B4"/>
    <mergeCell ref="C2:M2"/>
    <mergeCell ref="N2:T2"/>
  </mergeCells>
  <pageMargins left="0.34" right="0.46" top="0.75" bottom="0.75" header="0.3" footer="0.3"/>
  <pageSetup paperSize="5" scale="60" firstPageNumber="64" orientation="portrait" useFirstPageNumber="1" r:id="rId1"/>
  <headerFooter>
    <oddHeader>&amp;L&amp;"Arial,Bold"&amp;20Table 5C1-J: FY2013-14 MFP Budget Letter 
Jefferson Chamber Foundation</oddHeader>
    <oddFooter>&amp;R&amp;P</oddFooter>
  </headerFooter>
  <colBreaks count="1" manualBreakCount="1">
    <brk id="13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view="pageBreakPreview" zoomScale="90" zoomScaleNormal="100" zoomScaleSheetLayoutView="90" workbookViewId="0">
      <pane xSplit="2" ySplit="6" topLeftCell="K7" activePane="bottomRight" state="frozen"/>
      <selection activeCell="B1" sqref="B1:B2"/>
      <selection pane="topRight" activeCell="B1" sqref="B1:B2"/>
      <selection pane="bottomLeft" activeCell="B1" sqref="B1:B2"/>
      <selection pane="bottomRight" activeCell="N8" sqref="N8:N76"/>
    </sheetView>
  </sheetViews>
  <sheetFormatPr defaultRowHeight="12.75"/>
  <cols>
    <col min="1" max="1" width="4.28515625" style="1077" customWidth="1"/>
    <col min="2" max="2" width="17.85546875" style="1077" bestFit="1" customWidth="1"/>
    <col min="3" max="3" width="12.7109375" style="1077" customWidth="1"/>
    <col min="4" max="4" width="17" style="1077" customWidth="1"/>
    <col min="5" max="5" width="11" style="1077" bestFit="1" customWidth="1"/>
    <col min="6" max="6" width="12" style="1077" customWidth="1"/>
    <col min="7" max="7" width="13.28515625" style="1077" customWidth="1"/>
    <col min="8" max="8" width="14.5703125" style="1077" customWidth="1"/>
    <col min="9" max="9" width="12.28515625" style="1077" customWidth="1"/>
    <col min="10" max="10" width="12" style="1077" bestFit="1" customWidth="1"/>
    <col min="11" max="11" width="13.42578125" style="1077" bestFit="1" customWidth="1"/>
    <col min="12" max="12" width="14" style="1077" customWidth="1"/>
    <col min="13" max="13" width="9.28515625" style="1077" bestFit="1" customWidth="1"/>
    <col min="14" max="14" width="17.28515625" style="1077" customWidth="1"/>
    <col min="15" max="15" width="16.7109375" style="1077" customWidth="1"/>
    <col min="16" max="16" width="13.7109375" style="1077" customWidth="1"/>
    <col min="17" max="17" width="17" style="1077" customWidth="1"/>
    <col min="18" max="18" width="15.28515625" style="1077" customWidth="1"/>
    <col min="19" max="19" width="13.140625" style="1077" customWidth="1"/>
    <col min="20" max="20" width="12" style="1077" customWidth="1"/>
    <col min="21" max="21" width="11" style="1077" customWidth="1"/>
    <col min="22" max="22" width="12.140625" style="1077" customWidth="1"/>
    <col min="23" max="16384" width="9.140625" style="1077"/>
  </cols>
  <sheetData>
    <row r="1" spans="1:22">
      <c r="C1" s="1238"/>
      <c r="D1" s="1238"/>
      <c r="E1" s="1238"/>
      <c r="F1" s="1238"/>
      <c r="G1" s="1238"/>
      <c r="H1" s="1238"/>
      <c r="I1" s="1238"/>
      <c r="J1" s="1238"/>
      <c r="K1" s="1238"/>
      <c r="L1" s="1238"/>
      <c r="M1" s="1238"/>
    </row>
    <row r="2" spans="1:22" ht="45" customHeight="1">
      <c r="A2" s="1742" t="s">
        <v>954</v>
      </c>
      <c r="B2" s="1743"/>
      <c r="C2" s="1718" t="s">
        <v>686</v>
      </c>
      <c r="D2" s="1719"/>
      <c r="E2" s="1719"/>
      <c r="F2" s="1719"/>
      <c r="G2" s="1719"/>
      <c r="H2" s="1719"/>
      <c r="I2" s="1719"/>
      <c r="J2" s="1719"/>
      <c r="K2" s="1719"/>
      <c r="L2" s="1719"/>
      <c r="M2" s="1720"/>
      <c r="N2" s="1700" t="s">
        <v>656</v>
      </c>
      <c r="O2" s="1701"/>
      <c r="P2" s="1701"/>
      <c r="Q2" s="1701"/>
      <c r="R2" s="1701"/>
      <c r="S2" s="1701"/>
      <c r="T2" s="1702"/>
      <c r="U2" s="1703" t="s">
        <v>695</v>
      </c>
      <c r="V2" s="1703" t="s">
        <v>654</v>
      </c>
    </row>
    <row r="3" spans="1:22" ht="113.25" customHeight="1">
      <c r="A3" s="1744"/>
      <c r="B3" s="1745"/>
      <c r="C3" s="1748" t="s">
        <v>589</v>
      </c>
      <c r="D3" s="1717" t="s">
        <v>744</v>
      </c>
      <c r="E3" s="1717" t="s">
        <v>687</v>
      </c>
      <c r="F3" s="1706" t="s">
        <v>501</v>
      </c>
      <c r="G3" s="1706" t="s">
        <v>445</v>
      </c>
      <c r="H3" s="1706" t="s">
        <v>688</v>
      </c>
      <c r="I3" s="1277" t="s">
        <v>456</v>
      </c>
      <c r="J3" s="1706" t="s">
        <v>689</v>
      </c>
      <c r="K3" s="1706" t="s">
        <v>967</v>
      </c>
      <c r="L3" s="1706" t="s">
        <v>690</v>
      </c>
      <c r="M3" s="1717" t="s">
        <v>655</v>
      </c>
      <c r="N3" s="1709" t="s">
        <v>527</v>
      </c>
      <c r="O3" s="1278" t="s">
        <v>691</v>
      </c>
      <c r="P3" s="1278" t="s">
        <v>457</v>
      </c>
      <c r="Q3" s="1709" t="s">
        <v>692</v>
      </c>
      <c r="R3" s="1709" t="s">
        <v>967</v>
      </c>
      <c r="S3" s="1709" t="s">
        <v>693</v>
      </c>
      <c r="T3" s="1278" t="s">
        <v>694</v>
      </c>
      <c r="U3" s="1704"/>
      <c r="V3" s="1704"/>
    </row>
    <row r="4" spans="1:22" ht="23.25" customHeight="1">
      <c r="A4" s="1746"/>
      <c r="B4" s="1747"/>
      <c r="C4" s="1749"/>
      <c r="D4" s="1717"/>
      <c r="E4" s="1717"/>
      <c r="F4" s="1707"/>
      <c r="G4" s="1707"/>
      <c r="H4" s="1707"/>
      <c r="I4" s="1018">
        <v>2.5000000000000001E-3</v>
      </c>
      <c r="J4" s="1707"/>
      <c r="K4" s="1707"/>
      <c r="L4" s="1707"/>
      <c r="M4" s="1717"/>
      <c r="N4" s="1710"/>
      <c r="O4" s="1276"/>
      <c r="P4" s="1019">
        <v>2.5000000000000001E-3</v>
      </c>
      <c r="Q4" s="1710"/>
      <c r="R4" s="1710"/>
      <c r="S4" s="1710"/>
      <c r="T4" s="1276"/>
      <c r="U4" s="1705"/>
      <c r="V4" s="1705"/>
    </row>
    <row r="5" spans="1:22" ht="14.25" customHeight="1">
      <c r="A5" s="950"/>
      <c r="B5" s="951"/>
      <c r="C5" s="952">
        <v>1</v>
      </c>
      <c r="D5" s="952">
        <f t="shared" ref="D5" si="0">C5+1</f>
        <v>2</v>
      </c>
      <c r="E5" s="952">
        <f>D5+1</f>
        <v>3</v>
      </c>
      <c r="F5" s="952">
        <f t="shared" ref="F5:V5" si="1">E5+1</f>
        <v>4</v>
      </c>
      <c r="G5" s="952">
        <f t="shared" si="1"/>
        <v>5</v>
      </c>
      <c r="H5" s="952">
        <f t="shared" si="1"/>
        <v>6</v>
      </c>
      <c r="I5" s="952">
        <f t="shared" si="1"/>
        <v>7</v>
      </c>
      <c r="J5" s="952">
        <f t="shared" si="1"/>
        <v>8</v>
      </c>
      <c r="K5" s="952">
        <f t="shared" si="1"/>
        <v>9</v>
      </c>
      <c r="L5" s="952">
        <f t="shared" si="1"/>
        <v>10</v>
      </c>
      <c r="M5" s="952">
        <f t="shared" si="1"/>
        <v>11</v>
      </c>
      <c r="N5" s="952">
        <f t="shared" si="1"/>
        <v>12</v>
      </c>
      <c r="O5" s="952">
        <f t="shared" si="1"/>
        <v>13</v>
      </c>
      <c r="P5" s="952">
        <f t="shared" si="1"/>
        <v>14</v>
      </c>
      <c r="Q5" s="952">
        <f t="shared" si="1"/>
        <v>15</v>
      </c>
      <c r="R5" s="952">
        <f t="shared" si="1"/>
        <v>16</v>
      </c>
      <c r="S5" s="952">
        <f t="shared" si="1"/>
        <v>17</v>
      </c>
      <c r="T5" s="952">
        <f t="shared" si="1"/>
        <v>18</v>
      </c>
      <c r="U5" s="952">
        <f t="shared" si="1"/>
        <v>19</v>
      </c>
      <c r="V5" s="952">
        <f t="shared" si="1"/>
        <v>20</v>
      </c>
    </row>
    <row r="6" spans="1:22" ht="27" customHeight="1">
      <c r="A6" s="979"/>
      <c r="B6" s="980"/>
      <c r="C6" s="980"/>
      <c r="D6" s="980"/>
      <c r="E6" s="980"/>
      <c r="F6" s="980"/>
      <c r="G6" s="980"/>
      <c r="H6" s="980"/>
      <c r="I6" s="980"/>
      <c r="J6" s="980"/>
      <c r="K6" s="980"/>
      <c r="L6" s="980"/>
      <c r="M6" s="980"/>
      <c r="N6" s="980"/>
      <c r="O6" s="980"/>
      <c r="P6" s="980"/>
      <c r="Q6" s="980"/>
      <c r="R6" s="980"/>
      <c r="S6" s="980"/>
      <c r="T6" s="980"/>
      <c r="U6" s="980"/>
      <c r="V6" s="980"/>
    </row>
    <row r="7" spans="1:22">
      <c r="A7" s="953">
        <v>1</v>
      </c>
      <c r="B7" s="954" t="s">
        <v>93</v>
      </c>
      <c r="C7" s="955">
        <v>0</v>
      </c>
      <c r="D7" s="956">
        <f>'Table 3 Levels 1&amp;2'!AL8</f>
        <v>4597.5882673899441</v>
      </c>
      <c r="E7" s="1010">
        <f>C7*D7</f>
        <v>0</v>
      </c>
      <c r="F7" s="1010">
        <f>'Table 4 Level 3'!P6</f>
        <v>777.48</v>
      </c>
      <c r="G7" s="1010">
        <f>C7*F7</f>
        <v>0</v>
      </c>
      <c r="H7" s="957">
        <f>E7+G7</f>
        <v>0</v>
      </c>
      <c r="I7" s="1020">
        <f>-(0.25%*H7)</f>
        <v>0</v>
      </c>
      <c r="J7" s="957">
        <f>SUM(H7:I7)</f>
        <v>0</v>
      </c>
      <c r="K7" s="957">
        <v>0</v>
      </c>
      <c r="L7" s="957">
        <f>SUM(J7:K7)</f>
        <v>0</v>
      </c>
      <c r="M7" s="957">
        <f>L7/12</f>
        <v>0</v>
      </c>
      <c r="N7" s="981">
        <f>'Table 5C1A-Madison Prep'!N7</f>
        <v>2168</v>
      </c>
      <c r="O7" s="958">
        <f>C7*N7</f>
        <v>0</v>
      </c>
      <c r="P7" s="1028">
        <f>-(0.25%*O7)</f>
        <v>0</v>
      </c>
      <c r="Q7" s="958">
        <f>SUM(O7:P7)</f>
        <v>0</v>
      </c>
      <c r="R7" s="958">
        <v>0</v>
      </c>
      <c r="S7" s="958">
        <f>SUM(Q7:R7)</f>
        <v>0</v>
      </c>
      <c r="T7" s="958">
        <f>S7/12</f>
        <v>0</v>
      </c>
      <c r="U7" s="959">
        <f>L7+S7</f>
        <v>0</v>
      </c>
      <c r="V7" s="959">
        <f>M7+T7</f>
        <v>0</v>
      </c>
    </row>
    <row r="8" spans="1:22">
      <c r="A8" s="960">
        <v>2</v>
      </c>
      <c r="B8" s="961" t="s">
        <v>94</v>
      </c>
      <c r="C8" s="1078">
        <v>0</v>
      </c>
      <c r="D8" s="962">
        <f>'Table 3 Levels 1&amp;2'!AL9</f>
        <v>6182.4313545138375</v>
      </c>
      <c r="E8" s="1011">
        <f t="shared" ref="E8:E71" si="2">C8*D8</f>
        <v>0</v>
      </c>
      <c r="F8" s="1011">
        <f>'Table 4 Level 3'!P7</f>
        <v>842.32</v>
      </c>
      <c r="G8" s="1011">
        <f t="shared" ref="G8:G71" si="3">C8*F8</f>
        <v>0</v>
      </c>
      <c r="H8" s="982">
        <f t="shared" ref="H8:H71" si="4">E8+G8</f>
        <v>0</v>
      </c>
      <c r="I8" s="1021">
        <f t="shared" ref="I8:I71" si="5">-(0.25%*H8)</f>
        <v>0</v>
      </c>
      <c r="J8" s="982">
        <f t="shared" ref="J8:J71" si="6">SUM(H8:I8)</f>
        <v>0</v>
      </c>
      <c r="K8" s="982">
        <v>0</v>
      </c>
      <c r="L8" s="982">
        <f t="shared" ref="L8:L71" si="7">SUM(J8:K8)</f>
        <v>0</v>
      </c>
      <c r="M8" s="982">
        <f t="shared" ref="M8:M71" si="8">L8/12</f>
        <v>0</v>
      </c>
      <c r="N8" s="981">
        <f>'Table 5C1A-Madison Prep'!N8</f>
        <v>2627</v>
      </c>
      <c r="O8" s="983">
        <f t="shared" ref="O8:O71" si="9">C8*N8</f>
        <v>0</v>
      </c>
      <c r="P8" s="1029">
        <f t="shared" ref="P8:P71" si="10">-(0.25%*O8)</f>
        <v>0</v>
      </c>
      <c r="Q8" s="983">
        <f t="shared" ref="Q8:Q71" si="11">SUM(O8:P8)</f>
        <v>0</v>
      </c>
      <c r="R8" s="983">
        <v>0</v>
      </c>
      <c r="S8" s="983">
        <f t="shared" ref="S8:S71" si="12">SUM(Q8:R8)</f>
        <v>0</v>
      </c>
      <c r="T8" s="983">
        <f t="shared" ref="T8:T71" si="13">S8/12</f>
        <v>0</v>
      </c>
      <c r="U8" s="984">
        <f t="shared" ref="U8:V71" si="14">L8+S8</f>
        <v>0</v>
      </c>
      <c r="V8" s="984">
        <f t="shared" si="14"/>
        <v>0</v>
      </c>
    </row>
    <row r="9" spans="1:22">
      <c r="A9" s="960">
        <v>3</v>
      </c>
      <c r="B9" s="961" t="s">
        <v>95</v>
      </c>
      <c r="C9" s="1078">
        <v>0</v>
      </c>
      <c r="D9" s="962">
        <f>'Table 3 Levels 1&amp;2'!AL10</f>
        <v>4206.710737685361</v>
      </c>
      <c r="E9" s="1011">
        <f t="shared" si="2"/>
        <v>0</v>
      </c>
      <c r="F9" s="1011">
        <f>'Table 4 Level 3'!P8</f>
        <v>596.84</v>
      </c>
      <c r="G9" s="1011">
        <f t="shared" si="3"/>
        <v>0</v>
      </c>
      <c r="H9" s="982">
        <f t="shared" si="4"/>
        <v>0</v>
      </c>
      <c r="I9" s="1021">
        <f t="shared" si="5"/>
        <v>0</v>
      </c>
      <c r="J9" s="982">
        <f t="shared" si="6"/>
        <v>0</v>
      </c>
      <c r="K9" s="982">
        <v>0</v>
      </c>
      <c r="L9" s="982">
        <f t="shared" si="7"/>
        <v>0</v>
      </c>
      <c r="M9" s="982">
        <f t="shared" si="8"/>
        <v>0</v>
      </c>
      <c r="N9" s="981">
        <f>'Table 5C1A-Madison Prep'!N9</f>
        <v>5431</v>
      </c>
      <c r="O9" s="983">
        <f t="shared" si="9"/>
        <v>0</v>
      </c>
      <c r="P9" s="1029">
        <f t="shared" si="10"/>
        <v>0</v>
      </c>
      <c r="Q9" s="983">
        <f t="shared" si="11"/>
        <v>0</v>
      </c>
      <c r="R9" s="983">
        <v>0</v>
      </c>
      <c r="S9" s="983">
        <f t="shared" si="12"/>
        <v>0</v>
      </c>
      <c r="T9" s="983">
        <f t="shared" si="13"/>
        <v>0</v>
      </c>
      <c r="U9" s="984">
        <f t="shared" si="14"/>
        <v>0</v>
      </c>
      <c r="V9" s="984">
        <f t="shared" si="14"/>
        <v>0</v>
      </c>
    </row>
    <row r="10" spans="1:22">
      <c r="A10" s="960">
        <v>4</v>
      </c>
      <c r="B10" s="961" t="s">
        <v>96</v>
      </c>
      <c r="C10" s="1078">
        <v>0</v>
      </c>
      <c r="D10" s="962">
        <f>'Table 3 Levels 1&amp;2'!AL11</f>
        <v>5987.4993535453223</v>
      </c>
      <c r="E10" s="1011">
        <f t="shared" si="2"/>
        <v>0</v>
      </c>
      <c r="F10" s="1011">
        <f>'Table 4 Level 3'!P9</f>
        <v>585.76</v>
      </c>
      <c r="G10" s="1011">
        <f t="shared" si="3"/>
        <v>0</v>
      </c>
      <c r="H10" s="982">
        <f t="shared" si="4"/>
        <v>0</v>
      </c>
      <c r="I10" s="1021">
        <f t="shared" si="5"/>
        <v>0</v>
      </c>
      <c r="J10" s="982">
        <f t="shared" si="6"/>
        <v>0</v>
      </c>
      <c r="K10" s="982">
        <v>0</v>
      </c>
      <c r="L10" s="982">
        <f t="shared" si="7"/>
        <v>0</v>
      </c>
      <c r="M10" s="982">
        <f t="shared" si="8"/>
        <v>0</v>
      </c>
      <c r="N10" s="981">
        <f>'Table 5C1A-Madison Prep'!N10</f>
        <v>3029</v>
      </c>
      <c r="O10" s="983">
        <f t="shared" si="9"/>
        <v>0</v>
      </c>
      <c r="P10" s="1029">
        <f t="shared" si="10"/>
        <v>0</v>
      </c>
      <c r="Q10" s="983">
        <f t="shared" si="11"/>
        <v>0</v>
      </c>
      <c r="R10" s="983">
        <v>0</v>
      </c>
      <c r="S10" s="983">
        <f t="shared" si="12"/>
        <v>0</v>
      </c>
      <c r="T10" s="983">
        <f t="shared" si="13"/>
        <v>0</v>
      </c>
      <c r="U10" s="984">
        <f t="shared" si="14"/>
        <v>0</v>
      </c>
      <c r="V10" s="984">
        <f t="shared" si="14"/>
        <v>0</v>
      </c>
    </row>
    <row r="11" spans="1:22">
      <c r="A11" s="963">
        <v>5</v>
      </c>
      <c r="B11" s="964" t="s">
        <v>97</v>
      </c>
      <c r="C11" s="1079">
        <v>0</v>
      </c>
      <c r="D11" s="965">
        <f>'Table 3 Levels 1&amp;2'!AL12</f>
        <v>4986.8166927080074</v>
      </c>
      <c r="E11" s="1012">
        <f t="shared" si="2"/>
        <v>0</v>
      </c>
      <c r="F11" s="1012">
        <f>'Table 4 Level 3'!P10</f>
        <v>555.91</v>
      </c>
      <c r="G11" s="1012">
        <f t="shared" si="3"/>
        <v>0</v>
      </c>
      <c r="H11" s="985">
        <f t="shared" si="4"/>
        <v>0</v>
      </c>
      <c r="I11" s="1022">
        <f t="shared" si="5"/>
        <v>0</v>
      </c>
      <c r="J11" s="985">
        <f t="shared" si="6"/>
        <v>0</v>
      </c>
      <c r="K11" s="985">
        <v>0</v>
      </c>
      <c r="L11" s="985">
        <f t="shared" si="7"/>
        <v>0</v>
      </c>
      <c r="M11" s="985">
        <f t="shared" si="8"/>
        <v>0</v>
      </c>
      <c r="N11" s="986">
        <f>'Table 5C1A-Madison Prep'!N11</f>
        <v>1751</v>
      </c>
      <c r="O11" s="987">
        <f t="shared" si="9"/>
        <v>0</v>
      </c>
      <c r="P11" s="1030">
        <f t="shared" si="10"/>
        <v>0</v>
      </c>
      <c r="Q11" s="987">
        <f t="shared" si="11"/>
        <v>0</v>
      </c>
      <c r="R11" s="987">
        <v>0</v>
      </c>
      <c r="S11" s="987">
        <f t="shared" si="12"/>
        <v>0</v>
      </c>
      <c r="T11" s="987">
        <f t="shared" si="13"/>
        <v>0</v>
      </c>
      <c r="U11" s="988">
        <f t="shared" si="14"/>
        <v>0</v>
      </c>
      <c r="V11" s="988">
        <f t="shared" si="14"/>
        <v>0</v>
      </c>
    </row>
    <row r="12" spans="1:22">
      <c r="A12" s="953">
        <v>6</v>
      </c>
      <c r="B12" s="954" t="s">
        <v>98</v>
      </c>
      <c r="C12" s="1080">
        <v>0</v>
      </c>
      <c r="D12" s="956">
        <f>'Table 3 Levels 1&amp;2'!AL13</f>
        <v>5412.7883404260592</v>
      </c>
      <c r="E12" s="1010">
        <f t="shared" si="2"/>
        <v>0</v>
      </c>
      <c r="F12" s="1010">
        <f>'Table 4 Level 3'!P11</f>
        <v>545.4799999999999</v>
      </c>
      <c r="G12" s="1010">
        <f t="shared" si="3"/>
        <v>0</v>
      </c>
      <c r="H12" s="957">
        <f t="shared" si="4"/>
        <v>0</v>
      </c>
      <c r="I12" s="1020">
        <f t="shared" si="5"/>
        <v>0</v>
      </c>
      <c r="J12" s="957">
        <f t="shared" si="6"/>
        <v>0</v>
      </c>
      <c r="K12" s="957">
        <v>0</v>
      </c>
      <c r="L12" s="957">
        <f t="shared" si="7"/>
        <v>0</v>
      </c>
      <c r="M12" s="957">
        <f t="shared" si="8"/>
        <v>0</v>
      </c>
      <c r="N12" s="981">
        <f>'Table 5C1A-Madison Prep'!N12</f>
        <v>3735</v>
      </c>
      <c r="O12" s="958">
        <f t="shared" si="9"/>
        <v>0</v>
      </c>
      <c r="P12" s="1028">
        <f t="shared" si="10"/>
        <v>0</v>
      </c>
      <c r="Q12" s="958">
        <f t="shared" si="11"/>
        <v>0</v>
      </c>
      <c r="R12" s="958">
        <v>0</v>
      </c>
      <c r="S12" s="958">
        <f t="shared" si="12"/>
        <v>0</v>
      </c>
      <c r="T12" s="958">
        <f t="shared" si="13"/>
        <v>0</v>
      </c>
      <c r="U12" s="959">
        <f t="shared" si="14"/>
        <v>0</v>
      </c>
      <c r="V12" s="959">
        <f t="shared" si="14"/>
        <v>0</v>
      </c>
    </row>
    <row r="13" spans="1:22">
      <c r="A13" s="960">
        <v>7</v>
      </c>
      <c r="B13" s="961" t="s">
        <v>99</v>
      </c>
      <c r="C13" s="1078">
        <v>0</v>
      </c>
      <c r="D13" s="962">
        <f>'Table 3 Levels 1&amp;2'!AL14</f>
        <v>1766.1023604176123</v>
      </c>
      <c r="E13" s="1011">
        <f t="shared" si="2"/>
        <v>0</v>
      </c>
      <c r="F13" s="1011">
        <f>'Table 4 Level 3'!P12</f>
        <v>756.91999999999985</v>
      </c>
      <c r="G13" s="1011">
        <f t="shared" si="3"/>
        <v>0</v>
      </c>
      <c r="H13" s="982">
        <f t="shared" si="4"/>
        <v>0</v>
      </c>
      <c r="I13" s="1021">
        <f t="shared" si="5"/>
        <v>0</v>
      </c>
      <c r="J13" s="982">
        <f t="shared" si="6"/>
        <v>0</v>
      </c>
      <c r="K13" s="982">
        <v>0</v>
      </c>
      <c r="L13" s="982">
        <f t="shared" si="7"/>
        <v>0</v>
      </c>
      <c r="M13" s="982">
        <f t="shared" si="8"/>
        <v>0</v>
      </c>
      <c r="N13" s="981">
        <f>'Table 5C1A-Madison Prep'!N13</f>
        <v>11329</v>
      </c>
      <c r="O13" s="983">
        <f t="shared" si="9"/>
        <v>0</v>
      </c>
      <c r="P13" s="1029">
        <f t="shared" si="10"/>
        <v>0</v>
      </c>
      <c r="Q13" s="983">
        <f t="shared" si="11"/>
        <v>0</v>
      </c>
      <c r="R13" s="983">
        <v>0</v>
      </c>
      <c r="S13" s="983">
        <f t="shared" si="12"/>
        <v>0</v>
      </c>
      <c r="T13" s="983">
        <f t="shared" si="13"/>
        <v>0</v>
      </c>
      <c r="U13" s="984">
        <f t="shared" si="14"/>
        <v>0</v>
      </c>
      <c r="V13" s="984">
        <f t="shared" si="14"/>
        <v>0</v>
      </c>
    </row>
    <row r="14" spans="1:22">
      <c r="A14" s="960">
        <v>8</v>
      </c>
      <c r="B14" s="961" t="s">
        <v>100</v>
      </c>
      <c r="C14" s="1078">
        <v>0</v>
      </c>
      <c r="D14" s="962">
        <f>'Table 3 Levels 1&amp;2'!AL15</f>
        <v>4289.5073606712331</v>
      </c>
      <c r="E14" s="1011">
        <f t="shared" si="2"/>
        <v>0</v>
      </c>
      <c r="F14" s="1011">
        <f>'Table 4 Level 3'!P13</f>
        <v>725.76</v>
      </c>
      <c r="G14" s="1011">
        <f t="shared" si="3"/>
        <v>0</v>
      </c>
      <c r="H14" s="982">
        <f t="shared" si="4"/>
        <v>0</v>
      </c>
      <c r="I14" s="1021">
        <f t="shared" si="5"/>
        <v>0</v>
      </c>
      <c r="J14" s="982">
        <f t="shared" si="6"/>
        <v>0</v>
      </c>
      <c r="K14" s="982">
        <v>0</v>
      </c>
      <c r="L14" s="982">
        <f t="shared" si="7"/>
        <v>0</v>
      </c>
      <c r="M14" s="982">
        <f t="shared" si="8"/>
        <v>0</v>
      </c>
      <c r="N14" s="981">
        <f>'Table 5C1A-Madison Prep'!N14</f>
        <v>3915</v>
      </c>
      <c r="O14" s="983">
        <f t="shared" si="9"/>
        <v>0</v>
      </c>
      <c r="P14" s="1029">
        <f t="shared" si="10"/>
        <v>0</v>
      </c>
      <c r="Q14" s="983">
        <f t="shared" si="11"/>
        <v>0</v>
      </c>
      <c r="R14" s="983">
        <v>0</v>
      </c>
      <c r="S14" s="983">
        <f t="shared" si="12"/>
        <v>0</v>
      </c>
      <c r="T14" s="983">
        <f t="shared" si="13"/>
        <v>0</v>
      </c>
      <c r="U14" s="984">
        <f t="shared" si="14"/>
        <v>0</v>
      </c>
      <c r="V14" s="984">
        <f t="shared" si="14"/>
        <v>0</v>
      </c>
    </row>
    <row r="15" spans="1:22">
      <c r="A15" s="960">
        <v>9</v>
      </c>
      <c r="B15" s="961" t="s">
        <v>101</v>
      </c>
      <c r="C15" s="1078">
        <v>0</v>
      </c>
      <c r="D15" s="962">
        <f>'Table 3 Levels 1&amp;2'!AL16</f>
        <v>4395.6154516889328</v>
      </c>
      <c r="E15" s="1011">
        <f t="shared" si="2"/>
        <v>0</v>
      </c>
      <c r="F15" s="1011">
        <f>'Table 4 Level 3'!P14</f>
        <v>744.76</v>
      </c>
      <c r="G15" s="1011">
        <f t="shared" si="3"/>
        <v>0</v>
      </c>
      <c r="H15" s="982">
        <f t="shared" si="4"/>
        <v>0</v>
      </c>
      <c r="I15" s="1021">
        <f t="shared" si="5"/>
        <v>0</v>
      </c>
      <c r="J15" s="982">
        <f t="shared" si="6"/>
        <v>0</v>
      </c>
      <c r="K15" s="982">
        <v>0</v>
      </c>
      <c r="L15" s="982">
        <f t="shared" si="7"/>
        <v>0</v>
      </c>
      <c r="M15" s="982">
        <f t="shared" si="8"/>
        <v>0</v>
      </c>
      <c r="N15" s="981">
        <f>'Table 5C1A-Madison Prep'!N15</f>
        <v>4627</v>
      </c>
      <c r="O15" s="983">
        <f t="shared" si="9"/>
        <v>0</v>
      </c>
      <c r="P15" s="1029">
        <f t="shared" si="10"/>
        <v>0</v>
      </c>
      <c r="Q15" s="983">
        <f t="shared" si="11"/>
        <v>0</v>
      </c>
      <c r="R15" s="983">
        <v>0</v>
      </c>
      <c r="S15" s="983">
        <f t="shared" si="12"/>
        <v>0</v>
      </c>
      <c r="T15" s="983">
        <f t="shared" si="13"/>
        <v>0</v>
      </c>
      <c r="U15" s="984">
        <f t="shared" si="14"/>
        <v>0</v>
      </c>
      <c r="V15" s="984">
        <f t="shared" si="14"/>
        <v>0</v>
      </c>
    </row>
    <row r="16" spans="1:22">
      <c r="A16" s="963">
        <v>10</v>
      </c>
      <c r="B16" s="964" t="s">
        <v>102</v>
      </c>
      <c r="C16" s="1079">
        <v>0</v>
      </c>
      <c r="D16" s="965">
        <f>'Table 3 Levels 1&amp;2'!AL17</f>
        <v>4253.5980618992444</v>
      </c>
      <c r="E16" s="1012">
        <f t="shared" si="2"/>
        <v>0</v>
      </c>
      <c r="F16" s="1012">
        <f>'Table 4 Level 3'!P15</f>
        <v>608.04000000000008</v>
      </c>
      <c r="G16" s="1012">
        <f t="shared" si="3"/>
        <v>0</v>
      </c>
      <c r="H16" s="985">
        <f t="shared" si="4"/>
        <v>0</v>
      </c>
      <c r="I16" s="1022">
        <f t="shared" si="5"/>
        <v>0</v>
      </c>
      <c r="J16" s="985">
        <f t="shared" si="6"/>
        <v>0</v>
      </c>
      <c r="K16" s="985">
        <v>0</v>
      </c>
      <c r="L16" s="985">
        <f t="shared" si="7"/>
        <v>0</v>
      </c>
      <c r="M16" s="985">
        <f t="shared" si="8"/>
        <v>0</v>
      </c>
      <c r="N16" s="986">
        <f>'Table 5C1A-Madison Prep'!N16</f>
        <v>4489</v>
      </c>
      <c r="O16" s="987">
        <f t="shared" si="9"/>
        <v>0</v>
      </c>
      <c r="P16" s="1030">
        <f t="shared" si="10"/>
        <v>0</v>
      </c>
      <c r="Q16" s="987">
        <f t="shared" si="11"/>
        <v>0</v>
      </c>
      <c r="R16" s="987">
        <v>0</v>
      </c>
      <c r="S16" s="987">
        <f t="shared" si="12"/>
        <v>0</v>
      </c>
      <c r="T16" s="987">
        <f t="shared" si="13"/>
        <v>0</v>
      </c>
      <c r="U16" s="988">
        <f t="shared" si="14"/>
        <v>0</v>
      </c>
      <c r="V16" s="988">
        <f t="shared" si="14"/>
        <v>0</v>
      </c>
    </row>
    <row r="17" spans="1:22">
      <c r="A17" s="953">
        <v>11</v>
      </c>
      <c r="B17" s="954" t="s">
        <v>103</v>
      </c>
      <c r="C17" s="1080">
        <v>0</v>
      </c>
      <c r="D17" s="956">
        <f>'Table 3 Levels 1&amp;2'!AL18</f>
        <v>6852.9138435383502</v>
      </c>
      <c r="E17" s="1010">
        <f t="shared" si="2"/>
        <v>0</v>
      </c>
      <c r="F17" s="1010">
        <f>'Table 4 Level 3'!P16</f>
        <v>706.55</v>
      </c>
      <c r="G17" s="1010">
        <f t="shared" si="3"/>
        <v>0</v>
      </c>
      <c r="H17" s="957">
        <f t="shared" si="4"/>
        <v>0</v>
      </c>
      <c r="I17" s="1020">
        <f t="shared" si="5"/>
        <v>0</v>
      </c>
      <c r="J17" s="957">
        <f t="shared" si="6"/>
        <v>0</v>
      </c>
      <c r="K17" s="957">
        <v>0</v>
      </c>
      <c r="L17" s="957">
        <f t="shared" si="7"/>
        <v>0</v>
      </c>
      <c r="M17" s="957">
        <f t="shared" si="8"/>
        <v>0</v>
      </c>
      <c r="N17" s="981">
        <f>'Table 5C1A-Madison Prep'!N17</f>
        <v>3654</v>
      </c>
      <c r="O17" s="958">
        <f t="shared" si="9"/>
        <v>0</v>
      </c>
      <c r="P17" s="1028">
        <f t="shared" si="10"/>
        <v>0</v>
      </c>
      <c r="Q17" s="958">
        <f t="shared" si="11"/>
        <v>0</v>
      </c>
      <c r="R17" s="958">
        <v>0</v>
      </c>
      <c r="S17" s="958">
        <f t="shared" si="12"/>
        <v>0</v>
      </c>
      <c r="T17" s="958">
        <f t="shared" si="13"/>
        <v>0</v>
      </c>
      <c r="U17" s="959">
        <f t="shared" si="14"/>
        <v>0</v>
      </c>
      <c r="V17" s="959">
        <f t="shared" si="14"/>
        <v>0</v>
      </c>
    </row>
    <row r="18" spans="1:22">
      <c r="A18" s="960">
        <v>12</v>
      </c>
      <c r="B18" s="961" t="s">
        <v>104</v>
      </c>
      <c r="C18" s="1078">
        <v>0</v>
      </c>
      <c r="D18" s="962">
        <f>'Table 3 Levels 1&amp;2'!AL19</f>
        <v>1733.9056059356967</v>
      </c>
      <c r="E18" s="1011">
        <f t="shared" si="2"/>
        <v>0</v>
      </c>
      <c r="F18" s="1011">
        <f>'Table 4 Level 3'!P17</f>
        <v>1063.31</v>
      </c>
      <c r="G18" s="1011">
        <f t="shared" si="3"/>
        <v>0</v>
      </c>
      <c r="H18" s="982">
        <f t="shared" si="4"/>
        <v>0</v>
      </c>
      <c r="I18" s="1021">
        <f t="shared" si="5"/>
        <v>0</v>
      </c>
      <c r="J18" s="982">
        <f t="shared" si="6"/>
        <v>0</v>
      </c>
      <c r="K18" s="982">
        <v>0</v>
      </c>
      <c r="L18" s="982">
        <f t="shared" si="7"/>
        <v>0</v>
      </c>
      <c r="M18" s="982">
        <f t="shared" si="8"/>
        <v>0</v>
      </c>
      <c r="N18" s="981">
        <f>'Table 5C1A-Madison Prep'!N18</f>
        <v>13767</v>
      </c>
      <c r="O18" s="983">
        <f t="shared" si="9"/>
        <v>0</v>
      </c>
      <c r="P18" s="1029">
        <f t="shared" si="10"/>
        <v>0</v>
      </c>
      <c r="Q18" s="983">
        <f t="shared" si="11"/>
        <v>0</v>
      </c>
      <c r="R18" s="983">
        <v>0</v>
      </c>
      <c r="S18" s="983">
        <f t="shared" si="12"/>
        <v>0</v>
      </c>
      <c r="T18" s="983">
        <f t="shared" si="13"/>
        <v>0</v>
      </c>
      <c r="U18" s="984">
        <f t="shared" si="14"/>
        <v>0</v>
      </c>
      <c r="V18" s="984">
        <f t="shared" si="14"/>
        <v>0</v>
      </c>
    </row>
    <row r="19" spans="1:22">
      <c r="A19" s="960">
        <v>13</v>
      </c>
      <c r="B19" s="961" t="s">
        <v>105</v>
      </c>
      <c r="C19" s="1078">
        <v>0</v>
      </c>
      <c r="D19" s="962">
        <f>'Table 3 Levels 1&amp;2'!AL20</f>
        <v>6254.1238637730876</v>
      </c>
      <c r="E19" s="1011">
        <f t="shared" si="2"/>
        <v>0</v>
      </c>
      <c r="F19" s="1011">
        <f>'Table 4 Level 3'!P18</f>
        <v>749.43000000000006</v>
      </c>
      <c r="G19" s="1011">
        <f t="shared" si="3"/>
        <v>0</v>
      </c>
      <c r="H19" s="982">
        <f t="shared" si="4"/>
        <v>0</v>
      </c>
      <c r="I19" s="1021">
        <f t="shared" si="5"/>
        <v>0</v>
      </c>
      <c r="J19" s="982">
        <f t="shared" si="6"/>
        <v>0</v>
      </c>
      <c r="K19" s="982">
        <v>0</v>
      </c>
      <c r="L19" s="982">
        <f t="shared" si="7"/>
        <v>0</v>
      </c>
      <c r="M19" s="982">
        <f t="shared" si="8"/>
        <v>0</v>
      </c>
      <c r="N19" s="981">
        <f>'Table 5C1A-Madison Prep'!N19</f>
        <v>2525</v>
      </c>
      <c r="O19" s="983">
        <f t="shared" si="9"/>
        <v>0</v>
      </c>
      <c r="P19" s="1029">
        <f t="shared" si="10"/>
        <v>0</v>
      </c>
      <c r="Q19" s="983">
        <f t="shared" si="11"/>
        <v>0</v>
      </c>
      <c r="R19" s="983">
        <v>0</v>
      </c>
      <c r="S19" s="983">
        <f t="shared" si="12"/>
        <v>0</v>
      </c>
      <c r="T19" s="983">
        <f t="shared" si="13"/>
        <v>0</v>
      </c>
      <c r="U19" s="984">
        <f t="shared" si="14"/>
        <v>0</v>
      </c>
      <c r="V19" s="984">
        <f t="shared" si="14"/>
        <v>0</v>
      </c>
    </row>
    <row r="20" spans="1:22">
      <c r="A20" s="960">
        <v>14</v>
      </c>
      <c r="B20" s="961" t="s">
        <v>106</v>
      </c>
      <c r="C20" s="1078">
        <v>0</v>
      </c>
      <c r="D20" s="962">
        <f>'Table 3 Levels 1&amp;2'!AL21</f>
        <v>5377.9187438545459</v>
      </c>
      <c r="E20" s="1011">
        <f t="shared" si="2"/>
        <v>0</v>
      </c>
      <c r="F20" s="1011">
        <f>'Table 4 Level 3'!P19</f>
        <v>809.9799999999999</v>
      </c>
      <c r="G20" s="1011">
        <f t="shared" si="3"/>
        <v>0</v>
      </c>
      <c r="H20" s="982">
        <f t="shared" si="4"/>
        <v>0</v>
      </c>
      <c r="I20" s="1021">
        <f t="shared" si="5"/>
        <v>0</v>
      </c>
      <c r="J20" s="982">
        <f t="shared" si="6"/>
        <v>0</v>
      </c>
      <c r="K20" s="982">
        <v>0</v>
      </c>
      <c r="L20" s="982">
        <f t="shared" si="7"/>
        <v>0</v>
      </c>
      <c r="M20" s="982">
        <f t="shared" si="8"/>
        <v>0</v>
      </c>
      <c r="N20" s="981">
        <f>'Table 5C1A-Madison Prep'!N20</f>
        <v>3988</v>
      </c>
      <c r="O20" s="983">
        <f t="shared" si="9"/>
        <v>0</v>
      </c>
      <c r="P20" s="1029">
        <f t="shared" si="10"/>
        <v>0</v>
      </c>
      <c r="Q20" s="983">
        <f t="shared" si="11"/>
        <v>0</v>
      </c>
      <c r="R20" s="983">
        <v>0</v>
      </c>
      <c r="S20" s="983">
        <f t="shared" si="12"/>
        <v>0</v>
      </c>
      <c r="T20" s="983">
        <f t="shared" si="13"/>
        <v>0</v>
      </c>
      <c r="U20" s="984">
        <f t="shared" si="14"/>
        <v>0</v>
      </c>
      <c r="V20" s="984">
        <f t="shared" si="14"/>
        <v>0</v>
      </c>
    </row>
    <row r="21" spans="1:22">
      <c r="A21" s="963">
        <v>15</v>
      </c>
      <c r="B21" s="964" t="s">
        <v>107</v>
      </c>
      <c r="C21" s="1079">
        <v>0</v>
      </c>
      <c r="D21" s="965">
        <f>'Table 3 Levels 1&amp;2'!AL22</f>
        <v>5527.7651197617861</v>
      </c>
      <c r="E21" s="1012">
        <f t="shared" si="2"/>
        <v>0</v>
      </c>
      <c r="F21" s="1012">
        <f>'Table 4 Level 3'!P20</f>
        <v>553.79999999999995</v>
      </c>
      <c r="G21" s="1012">
        <f t="shared" si="3"/>
        <v>0</v>
      </c>
      <c r="H21" s="985">
        <f t="shared" si="4"/>
        <v>0</v>
      </c>
      <c r="I21" s="1022">
        <f t="shared" si="5"/>
        <v>0</v>
      </c>
      <c r="J21" s="985">
        <f t="shared" si="6"/>
        <v>0</v>
      </c>
      <c r="K21" s="985">
        <v>0</v>
      </c>
      <c r="L21" s="985">
        <f t="shared" si="7"/>
        <v>0</v>
      </c>
      <c r="M21" s="985">
        <f t="shared" si="8"/>
        <v>0</v>
      </c>
      <c r="N21" s="986">
        <f>'Table 5C1A-Madison Prep'!N21</f>
        <v>2544</v>
      </c>
      <c r="O21" s="987">
        <f t="shared" si="9"/>
        <v>0</v>
      </c>
      <c r="P21" s="1030">
        <f t="shared" si="10"/>
        <v>0</v>
      </c>
      <c r="Q21" s="987">
        <f t="shared" si="11"/>
        <v>0</v>
      </c>
      <c r="R21" s="987">
        <v>0</v>
      </c>
      <c r="S21" s="987">
        <f t="shared" si="12"/>
        <v>0</v>
      </c>
      <c r="T21" s="987">
        <f t="shared" si="13"/>
        <v>0</v>
      </c>
      <c r="U21" s="988">
        <f t="shared" si="14"/>
        <v>0</v>
      </c>
      <c r="V21" s="988">
        <f t="shared" si="14"/>
        <v>0</v>
      </c>
    </row>
    <row r="22" spans="1:22">
      <c r="A22" s="953">
        <v>16</v>
      </c>
      <c r="B22" s="954" t="s">
        <v>108</v>
      </c>
      <c r="C22" s="1080">
        <v>0</v>
      </c>
      <c r="D22" s="956">
        <f>'Table 3 Levels 1&amp;2'!AL23</f>
        <v>1530.3678845377474</v>
      </c>
      <c r="E22" s="1010">
        <f t="shared" si="2"/>
        <v>0</v>
      </c>
      <c r="F22" s="1010">
        <f>'Table 4 Level 3'!P21</f>
        <v>686.73</v>
      </c>
      <c r="G22" s="1010">
        <f t="shared" si="3"/>
        <v>0</v>
      </c>
      <c r="H22" s="957">
        <f t="shared" si="4"/>
        <v>0</v>
      </c>
      <c r="I22" s="1020">
        <f t="shared" si="5"/>
        <v>0</v>
      </c>
      <c r="J22" s="957">
        <f t="shared" si="6"/>
        <v>0</v>
      </c>
      <c r="K22" s="957">
        <v>0</v>
      </c>
      <c r="L22" s="957">
        <f t="shared" si="7"/>
        <v>0</v>
      </c>
      <c r="M22" s="957">
        <f t="shared" si="8"/>
        <v>0</v>
      </c>
      <c r="N22" s="981">
        <f>'Table 5C1A-Madison Prep'!N22</f>
        <v>12132</v>
      </c>
      <c r="O22" s="958">
        <f t="shared" si="9"/>
        <v>0</v>
      </c>
      <c r="P22" s="1028">
        <f t="shared" si="10"/>
        <v>0</v>
      </c>
      <c r="Q22" s="958">
        <f t="shared" si="11"/>
        <v>0</v>
      </c>
      <c r="R22" s="958">
        <v>0</v>
      </c>
      <c r="S22" s="958">
        <f t="shared" si="12"/>
        <v>0</v>
      </c>
      <c r="T22" s="958">
        <f t="shared" si="13"/>
        <v>0</v>
      </c>
      <c r="U22" s="959">
        <f t="shared" si="14"/>
        <v>0</v>
      </c>
      <c r="V22" s="959">
        <f t="shared" si="14"/>
        <v>0</v>
      </c>
    </row>
    <row r="23" spans="1:22">
      <c r="A23" s="960">
        <v>17</v>
      </c>
      <c r="B23" s="961" t="s">
        <v>109</v>
      </c>
      <c r="C23" s="1078">
        <v>0</v>
      </c>
      <c r="D23" s="962">
        <f>'Table 3 Levels 1&amp;2'!AL24</f>
        <v>3313.0666313017805</v>
      </c>
      <c r="E23" s="1011">
        <f t="shared" si="2"/>
        <v>0</v>
      </c>
      <c r="F23" s="1011">
        <f>'Table 4 Level 3'!P22</f>
        <v>801.47762416806802</v>
      </c>
      <c r="G23" s="1011">
        <f t="shared" si="3"/>
        <v>0</v>
      </c>
      <c r="H23" s="982">
        <f t="shared" si="4"/>
        <v>0</v>
      </c>
      <c r="I23" s="1021">
        <f t="shared" si="5"/>
        <v>0</v>
      </c>
      <c r="J23" s="982">
        <f t="shared" si="6"/>
        <v>0</v>
      </c>
      <c r="K23" s="982">
        <v>0</v>
      </c>
      <c r="L23" s="982">
        <f t="shared" si="7"/>
        <v>0</v>
      </c>
      <c r="M23" s="982">
        <f t="shared" si="8"/>
        <v>0</v>
      </c>
      <c r="N23" s="981">
        <f>'Table 5C1A-Madison Prep'!N23</f>
        <v>6764</v>
      </c>
      <c r="O23" s="983">
        <f t="shared" si="9"/>
        <v>0</v>
      </c>
      <c r="P23" s="1029">
        <f t="shared" si="10"/>
        <v>0</v>
      </c>
      <c r="Q23" s="983">
        <f t="shared" si="11"/>
        <v>0</v>
      </c>
      <c r="R23" s="983">
        <v>0</v>
      </c>
      <c r="S23" s="983">
        <f t="shared" si="12"/>
        <v>0</v>
      </c>
      <c r="T23" s="983">
        <f t="shared" si="13"/>
        <v>0</v>
      </c>
      <c r="U23" s="984">
        <f t="shared" si="14"/>
        <v>0</v>
      </c>
      <c r="V23" s="984">
        <f t="shared" si="14"/>
        <v>0</v>
      </c>
    </row>
    <row r="24" spans="1:22">
      <c r="A24" s="960">
        <v>18</v>
      </c>
      <c r="B24" s="961" t="s">
        <v>110</v>
      </c>
      <c r="C24" s="1078">
        <v>0</v>
      </c>
      <c r="D24" s="962">
        <f>'Table 3 Levels 1&amp;2'!AL25</f>
        <v>5989.1351892854573</v>
      </c>
      <c r="E24" s="1011">
        <f t="shared" si="2"/>
        <v>0</v>
      </c>
      <c r="F24" s="1011">
        <f>'Table 4 Level 3'!P23</f>
        <v>845.94999999999993</v>
      </c>
      <c r="G24" s="1011">
        <f t="shared" si="3"/>
        <v>0</v>
      </c>
      <c r="H24" s="982">
        <f t="shared" si="4"/>
        <v>0</v>
      </c>
      <c r="I24" s="1021">
        <f t="shared" si="5"/>
        <v>0</v>
      </c>
      <c r="J24" s="982">
        <f t="shared" si="6"/>
        <v>0</v>
      </c>
      <c r="K24" s="982">
        <v>0</v>
      </c>
      <c r="L24" s="982">
        <f t="shared" si="7"/>
        <v>0</v>
      </c>
      <c r="M24" s="982">
        <f t="shared" si="8"/>
        <v>0</v>
      </c>
      <c r="N24" s="981">
        <f>'Table 5C1A-Madison Prep'!N24</f>
        <v>2925</v>
      </c>
      <c r="O24" s="983">
        <f t="shared" si="9"/>
        <v>0</v>
      </c>
      <c r="P24" s="1029">
        <f t="shared" si="10"/>
        <v>0</v>
      </c>
      <c r="Q24" s="983">
        <f t="shared" si="11"/>
        <v>0</v>
      </c>
      <c r="R24" s="983">
        <v>0</v>
      </c>
      <c r="S24" s="983">
        <f t="shared" si="12"/>
        <v>0</v>
      </c>
      <c r="T24" s="983">
        <f t="shared" si="13"/>
        <v>0</v>
      </c>
      <c r="U24" s="984">
        <f t="shared" si="14"/>
        <v>0</v>
      </c>
      <c r="V24" s="984">
        <f t="shared" si="14"/>
        <v>0</v>
      </c>
    </row>
    <row r="25" spans="1:22">
      <c r="A25" s="960">
        <v>19</v>
      </c>
      <c r="B25" s="961" t="s">
        <v>111</v>
      </c>
      <c r="C25" s="1078">
        <v>0</v>
      </c>
      <c r="D25" s="962">
        <f>'Table 3 Levels 1&amp;2'!AL26</f>
        <v>5315.8913399708035</v>
      </c>
      <c r="E25" s="1011">
        <f t="shared" si="2"/>
        <v>0</v>
      </c>
      <c r="F25" s="1011">
        <f>'Table 4 Level 3'!P24</f>
        <v>905.43</v>
      </c>
      <c r="G25" s="1011">
        <f t="shared" si="3"/>
        <v>0</v>
      </c>
      <c r="H25" s="982">
        <f t="shared" si="4"/>
        <v>0</v>
      </c>
      <c r="I25" s="1021">
        <f t="shared" si="5"/>
        <v>0</v>
      </c>
      <c r="J25" s="982">
        <f t="shared" si="6"/>
        <v>0</v>
      </c>
      <c r="K25" s="982">
        <v>0</v>
      </c>
      <c r="L25" s="982">
        <f t="shared" si="7"/>
        <v>0</v>
      </c>
      <c r="M25" s="982">
        <f t="shared" si="8"/>
        <v>0</v>
      </c>
      <c r="N25" s="981">
        <f>'Table 5C1A-Madison Prep'!N25</f>
        <v>2570</v>
      </c>
      <c r="O25" s="983">
        <f t="shared" si="9"/>
        <v>0</v>
      </c>
      <c r="P25" s="1029">
        <f t="shared" si="10"/>
        <v>0</v>
      </c>
      <c r="Q25" s="983">
        <f t="shared" si="11"/>
        <v>0</v>
      </c>
      <c r="R25" s="983">
        <v>0</v>
      </c>
      <c r="S25" s="983">
        <f t="shared" si="12"/>
        <v>0</v>
      </c>
      <c r="T25" s="983">
        <f t="shared" si="13"/>
        <v>0</v>
      </c>
      <c r="U25" s="984">
        <f t="shared" si="14"/>
        <v>0</v>
      </c>
      <c r="V25" s="984">
        <f t="shared" si="14"/>
        <v>0</v>
      </c>
    </row>
    <row r="26" spans="1:22">
      <c r="A26" s="963">
        <v>20</v>
      </c>
      <c r="B26" s="964" t="s">
        <v>112</v>
      </c>
      <c r="C26" s="1079">
        <v>0</v>
      </c>
      <c r="D26" s="965">
        <f>'Table 3 Levels 1&amp;2'!AL27</f>
        <v>5420.2042919205833</v>
      </c>
      <c r="E26" s="1012">
        <f t="shared" si="2"/>
        <v>0</v>
      </c>
      <c r="F26" s="1012">
        <f>'Table 4 Level 3'!P25</f>
        <v>586.16999999999996</v>
      </c>
      <c r="G26" s="1012">
        <f t="shared" si="3"/>
        <v>0</v>
      </c>
      <c r="H26" s="985">
        <f t="shared" si="4"/>
        <v>0</v>
      </c>
      <c r="I26" s="1022">
        <f t="shared" si="5"/>
        <v>0</v>
      </c>
      <c r="J26" s="985">
        <f t="shared" si="6"/>
        <v>0</v>
      </c>
      <c r="K26" s="985">
        <v>0</v>
      </c>
      <c r="L26" s="985">
        <f t="shared" si="7"/>
        <v>0</v>
      </c>
      <c r="M26" s="985">
        <f t="shared" si="8"/>
        <v>0</v>
      </c>
      <c r="N26" s="986">
        <f>'Table 5C1A-Madison Prep'!N26</f>
        <v>2420</v>
      </c>
      <c r="O26" s="987">
        <f t="shared" si="9"/>
        <v>0</v>
      </c>
      <c r="P26" s="1030">
        <f t="shared" si="10"/>
        <v>0</v>
      </c>
      <c r="Q26" s="987">
        <f t="shared" si="11"/>
        <v>0</v>
      </c>
      <c r="R26" s="987">
        <v>0</v>
      </c>
      <c r="S26" s="987">
        <f t="shared" si="12"/>
        <v>0</v>
      </c>
      <c r="T26" s="987">
        <f t="shared" si="13"/>
        <v>0</v>
      </c>
      <c r="U26" s="988">
        <f t="shared" si="14"/>
        <v>0</v>
      </c>
      <c r="V26" s="988">
        <f t="shared" si="14"/>
        <v>0</v>
      </c>
    </row>
    <row r="27" spans="1:22">
      <c r="A27" s="953">
        <v>21</v>
      </c>
      <c r="B27" s="954" t="s">
        <v>113</v>
      </c>
      <c r="C27" s="1080">
        <v>0</v>
      </c>
      <c r="D27" s="956">
        <f>'Table 3 Levels 1&amp;2'!AL28</f>
        <v>5724.5404916279067</v>
      </c>
      <c r="E27" s="1010">
        <f t="shared" si="2"/>
        <v>0</v>
      </c>
      <c r="F27" s="1010">
        <f>'Table 4 Level 3'!P26</f>
        <v>610.35</v>
      </c>
      <c r="G27" s="1010">
        <f t="shared" si="3"/>
        <v>0</v>
      </c>
      <c r="H27" s="957">
        <f t="shared" si="4"/>
        <v>0</v>
      </c>
      <c r="I27" s="1020">
        <f t="shared" si="5"/>
        <v>0</v>
      </c>
      <c r="J27" s="957">
        <f t="shared" si="6"/>
        <v>0</v>
      </c>
      <c r="K27" s="957">
        <v>0</v>
      </c>
      <c r="L27" s="957">
        <f t="shared" si="7"/>
        <v>0</v>
      </c>
      <c r="M27" s="957">
        <f t="shared" si="8"/>
        <v>0</v>
      </c>
      <c r="N27" s="981">
        <f>'Table 5C1A-Madison Prep'!N27</f>
        <v>2265</v>
      </c>
      <c r="O27" s="958">
        <f t="shared" si="9"/>
        <v>0</v>
      </c>
      <c r="P27" s="1028">
        <f t="shared" si="10"/>
        <v>0</v>
      </c>
      <c r="Q27" s="958">
        <f t="shared" si="11"/>
        <v>0</v>
      </c>
      <c r="R27" s="958">
        <v>0</v>
      </c>
      <c r="S27" s="958">
        <f t="shared" si="12"/>
        <v>0</v>
      </c>
      <c r="T27" s="958">
        <f t="shared" si="13"/>
        <v>0</v>
      </c>
      <c r="U27" s="959">
        <f t="shared" si="14"/>
        <v>0</v>
      </c>
      <c r="V27" s="959">
        <f t="shared" si="14"/>
        <v>0</v>
      </c>
    </row>
    <row r="28" spans="1:22">
      <c r="A28" s="960">
        <v>22</v>
      </c>
      <c r="B28" s="961" t="s">
        <v>114</v>
      </c>
      <c r="C28" s="1078">
        <v>0</v>
      </c>
      <c r="D28" s="962">
        <f>'Table 3 Levels 1&amp;2'!AL29</f>
        <v>6203.2933768722742</v>
      </c>
      <c r="E28" s="1011">
        <f t="shared" si="2"/>
        <v>0</v>
      </c>
      <c r="F28" s="1011">
        <f>'Table 4 Level 3'!P27</f>
        <v>496.36</v>
      </c>
      <c r="G28" s="1011">
        <f t="shared" si="3"/>
        <v>0</v>
      </c>
      <c r="H28" s="982">
        <f t="shared" si="4"/>
        <v>0</v>
      </c>
      <c r="I28" s="1021">
        <f t="shared" si="5"/>
        <v>0</v>
      </c>
      <c r="J28" s="982">
        <f t="shared" si="6"/>
        <v>0</v>
      </c>
      <c r="K28" s="982">
        <v>0</v>
      </c>
      <c r="L28" s="982">
        <f t="shared" si="7"/>
        <v>0</v>
      </c>
      <c r="M28" s="982">
        <f t="shared" si="8"/>
        <v>0</v>
      </c>
      <c r="N28" s="981">
        <f>'Table 5C1A-Madison Prep'!N28</f>
        <v>1438</v>
      </c>
      <c r="O28" s="983">
        <f t="shared" si="9"/>
        <v>0</v>
      </c>
      <c r="P28" s="1029">
        <f t="shared" si="10"/>
        <v>0</v>
      </c>
      <c r="Q28" s="983">
        <f t="shared" si="11"/>
        <v>0</v>
      </c>
      <c r="R28" s="983">
        <v>0</v>
      </c>
      <c r="S28" s="983">
        <f t="shared" si="12"/>
        <v>0</v>
      </c>
      <c r="T28" s="983">
        <f t="shared" si="13"/>
        <v>0</v>
      </c>
      <c r="U28" s="984">
        <f t="shared" si="14"/>
        <v>0</v>
      </c>
      <c r="V28" s="984">
        <f t="shared" si="14"/>
        <v>0</v>
      </c>
    </row>
    <row r="29" spans="1:22">
      <c r="A29" s="960">
        <v>23</v>
      </c>
      <c r="B29" s="961" t="s">
        <v>115</v>
      </c>
      <c r="C29" s="1078">
        <v>0</v>
      </c>
      <c r="D29" s="962">
        <f>'Table 3 Levels 1&amp;2'!AL30</f>
        <v>4846.0802490067681</v>
      </c>
      <c r="E29" s="1011">
        <f t="shared" si="2"/>
        <v>0</v>
      </c>
      <c r="F29" s="1011">
        <f>'Table 4 Level 3'!P28</f>
        <v>688.58</v>
      </c>
      <c r="G29" s="1011">
        <f t="shared" si="3"/>
        <v>0</v>
      </c>
      <c r="H29" s="982">
        <f t="shared" si="4"/>
        <v>0</v>
      </c>
      <c r="I29" s="1021">
        <f t="shared" si="5"/>
        <v>0</v>
      </c>
      <c r="J29" s="982">
        <f t="shared" si="6"/>
        <v>0</v>
      </c>
      <c r="K29" s="982">
        <v>0</v>
      </c>
      <c r="L29" s="982">
        <f t="shared" si="7"/>
        <v>0</v>
      </c>
      <c r="M29" s="982">
        <f t="shared" si="8"/>
        <v>0</v>
      </c>
      <c r="N29" s="981">
        <f>'Table 5C1A-Madison Prep'!N29</f>
        <v>3386</v>
      </c>
      <c r="O29" s="983">
        <f t="shared" si="9"/>
        <v>0</v>
      </c>
      <c r="P29" s="1029">
        <f t="shared" si="10"/>
        <v>0</v>
      </c>
      <c r="Q29" s="983">
        <f t="shared" si="11"/>
        <v>0</v>
      </c>
      <c r="R29" s="983">
        <v>0</v>
      </c>
      <c r="S29" s="983">
        <f t="shared" si="12"/>
        <v>0</v>
      </c>
      <c r="T29" s="983">
        <f t="shared" si="13"/>
        <v>0</v>
      </c>
      <c r="U29" s="984">
        <f t="shared" si="14"/>
        <v>0</v>
      </c>
      <c r="V29" s="984">
        <f t="shared" si="14"/>
        <v>0</v>
      </c>
    </row>
    <row r="30" spans="1:22">
      <c r="A30" s="960">
        <v>24</v>
      </c>
      <c r="B30" s="961" t="s">
        <v>116</v>
      </c>
      <c r="C30" s="1078">
        <v>0</v>
      </c>
      <c r="D30" s="962">
        <f>'Table 3 Levels 1&amp;2'!AL31</f>
        <v>2764.1216755319151</v>
      </c>
      <c r="E30" s="1011">
        <f t="shared" si="2"/>
        <v>0</v>
      </c>
      <c r="F30" s="1011">
        <f>'Table 4 Level 3'!P29</f>
        <v>854.24999999999989</v>
      </c>
      <c r="G30" s="1011">
        <f t="shared" si="3"/>
        <v>0</v>
      </c>
      <c r="H30" s="982">
        <f t="shared" si="4"/>
        <v>0</v>
      </c>
      <c r="I30" s="1021">
        <f t="shared" si="5"/>
        <v>0</v>
      </c>
      <c r="J30" s="982">
        <f t="shared" si="6"/>
        <v>0</v>
      </c>
      <c r="K30" s="982">
        <v>0</v>
      </c>
      <c r="L30" s="982">
        <f t="shared" si="7"/>
        <v>0</v>
      </c>
      <c r="M30" s="982">
        <f t="shared" si="8"/>
        <v>0</v>
      </c>
      <c r="N30" s="981">
        <f>'Table 5C1A-Madison Prep'!N30</f>
        <v>9761</v>
      </c>
      <c r="O30" s="983">
        <f t="shared" si="9"/>
        <v>0</v>
      </c>
      <c r="P30" s="1029">
        <f t="shared" si="10"/>
        <v>0</v>
      </c>
      <c r="Q30" s="983">
        <f t="shared" si="11"/>
        <v>0</v>
      </c>
      <c r="R30" s="983">
        <v>0</v>
      </c>
      <c r="S30" s="983">
        <f t="shared" si="12"/>
        <v>0</v>
      </c>
      <c r="T30" s="983">
        <f t="shared" si="13"/>
        <v>0</v>
      </c>
      <c r="U30" s="984">
        <f t="shared" si="14"/>
        <v>0</v>
      </c>
      <c r="V30" s="984">
        <f t="shared" si="14"/>
        <v>0</v>
      </c>
    </row>
    <row r="31" spans="1:22">
      <c r="A31" s="963">
        <v>25</v>
      </c>
      <c r="B31" s="964" t="s">
        <v>117</v>
      </c>
      <c r="C31" s="1079">
        <v>0</v>
      </c>
      <c r="D31" s="965">
        <f>'Table 3 Levels 1&amp;2'!AL32</f>
        <v>3867.4480692053257</v>
      </c>
      <c r="E31" s="1012">
        <f t="shared" si="2"/>
        <v>0</v>
      </c>
      <c r="F31" s="1012">
        <f>'Table 4 Level 3'!P30</f>
        <v>653.73</v>
      </c>
      <c r="G31" s="1012">
        <f t="shared" si="3"/>
        <v>0</v>
      </c>
      <c r="H31" s="985">
        <f t="shared" si="4"/>
        <v>0</v>
      </c>
      <c r="I31" s="1022">
        <f t="shared" si="5"/>
        <v>0</v>
      </c>
      <c r="J31" s="985">
        <f t="shared" si="6"/>
        <v>0</v>
      </c>
      <c r="K31" s="985">
        <v>0</v>
      </c>
      <c r="L31" s="985">
        <f t="shared" si="7"/>
        <v>0</v>
      </c>
      <c r="M31" s="985">
        <f t="shared" si="8"/>
        <v>0</v>
      </c>
      <c r="N31" s="986">
        <f>'Table 5C1A-Madison Prep'!N31</f>
        <v>4842</v>
      </c>
      <c r="O31" s="987">
        <f t="shared" si="9"/>
        <v>0</v>
      </c>
      <c r="P31" s="1030">
        <f t="shared" si="10"/>
        <v>0</v>
      </c>
      <c r="Q31" s="987">
        <f t="shared" si="11"/>
        <v>0</v>
      </c>
      <c r="R31" s="987">
        <v>0</v>
      </c>
      <c r="S31" s="987">
        <f t="shared" si="12"/>
        <v>0</v>
      </c>
      <c r="T31" s="987">
        <f t="shared" si="13"/>
        <v>0</v>
      </c>
      <c r="U31" s="988">
        <f t="shared" si="14"/>
        <v>0</v>
      </c>
      <c r="V31" s="988">
        <f t="shared" si="14"/>
        <v>0</v>
      </c>
    </row>
    <row r="32" spans="1:22">
      <c r="A32" s="953">
        <v>26</v>
      </c>
      <c r="B32" s="954" t="s">
        <v>118</v>
      </c>
      <c r="C32" s="1080">
        <v>0</v>
      </c>
      <c r="D32" s="956">
        <f>'Table 3 Levels 1&amp;2'!AL33</f>
        <v>3293.481526790355</v>
      </c>
      <c r="E32" s="1010">
        <f t="shared" si="2"/>
        <v>0</v>
      </c>
      <c r="F32" s="1010">
        <f>'Table 4 Level 3'!P31</f>
        <v>836.83</v>
      </c>
      <c r="G32" s="1010">
        <f t="shared" si="3"/>
        <v>0</v>
      </c>
      <c r="H32" s="957">
        <f t="shared" si="4"/>
        <v>0</v>
      </c>
      <c r="I32" s="1020">
        <f t="shared" si="5"/>
        <v>0</v>
      </c>
      <c r="J32" s="957">
        <f t="shared" si="6"/>
        <v>0</v>
      </c>
      <c r="K32" s="957">
        <v>0</v>
      </c>
      <c r="L32" s="957">
        <f t="shared" si="7"/>
        <v>0</v>
      </c>
      <c r="M32" s="957">
        <f t="shared" si="8"/>
        <v>0</v>
      </c>
      <c r="N32" s="981">
        <f>'Table 5C1A-Madison Prep'!N32</f>
        <v>5301</v>
      </c>
      <c r="O32" s="958">
        <f t="shared" si="9"/>
        <v>0</v>
      </c>
      <c r="P32" s="1028">
        <f t="shared" si="10"/>
        <v>0</v>
      </c>
      <c r="Q32" s="958">
        <f t="shared" si="11"/>
        <v>0</v>
      </c>
      <c r="R32" s="958">
        <v>0</v>
      </c>
      <c r="S32" s="958">
        <f t="shared" si="12"/>
        <v>0</v>
      </c>
      <c r="T32" s="958">
        <f t="shared" si="13"/>
        <v>0</v>
      </c>
      <c r="U32" s="959">
        <f t="shared" si="14"/>
        <v>0</v>
      </c>
      <c r="V32" s="959">
        <f t="shared" si="14"/>
        <v>0</v>
      </c>
    </row>
    <row r="33" spans="1:22">
      <c r="A33" s="960">
        <v>27</v>
      </c>
      <c r="B33" s="961" t="s">
        <v>119</v>
      </c>
      <c r="C33" s="1081">
        <v>0</v>
      </c>
      <c r="D33" s="966">
        <f>'Table 3 Levels 1&amp;2'!AL34</f>
        <v>5680.7727517381973</v>
      </c>
      <c r="E33" s="1013">
        <f t="shared" si="2"/>
        <v>0</v>
      </c>
      <c r="F33" s="1013">
        <f>'Table 4 Level 3'!P32</f>
        <v>693.06</v>
      </c>
      <c r="G33" s="1013">
        <f t="shared" si="3"/>
        <v>0</v>
      </c>
      <c r="H33" s="989">
        <f t="shared" si="4"/>
        <v>0</v>
      </c>
      <c r="I33" s="1023">
        <f t="shared" si="5"/>
        <v>0</v>
      </c>
      <c r="J33" s="989">
        <f t="shared" si="6"/>
        <v>0</v>
      </c>
      <c r="K33" s="989">
        <v>0</v>
      </c>
      <c r="L33" s="989">
        <f t="shared" si="7"/>
        <v>0</v>
      </c>
      <c r="M33" s="989">
        <f t="shared" si="8"/>
        <v>0</v>
      </c>
      <c r="N33" s="981">
        <f>'Table 5C1A-Madison Prep'!N33</f>
        <v>3252</v>
      </c>
      <c r="O33" s="983">
        <f t="shared" si="9"/>
        <v>0</v>
      </c>
      <c r="P33" s="1029">
        <f t="shared" si="10"/>
        <v>0</v>
      </c>
      <c r="Q33" s="983">
        <f t="shared" si="11"/>
        <v>0</v>
      </c>
      <c r="R33" s="983">
        <v>0</v>
      </c>
      <c r="S33" s="983">
        <f t="shared" si="12"/>
        <v>0</v>
      </c>
      <c r="T33" s="983">
        <f t="shared" si="13"/>
        <v>0</v>
      </c>
      <c r="U33" s="984">
        <f t="shared" si="14"/>
        <v>0</v>
      </c>
      <c r="V33" s="984">
        <f t="shared" si="14"/>
        <v>0</v>
      </c>
    </row>
    <row r="34" spans="1:22">
      <c r="A34" s="960">
        <v>28</v>
      </c>
      <c r="B34" s="961" t="s">
        <v>120</v>
      </c>
      <c r="C34" s="1081">
        <v>0</v>
      </c>
      <c r="D34" s="966">
        <f>'Table 3 Levels 1&amp;2'!AL35</f>
        <v>3163.1694438483169</v>
      </c>
      <c r="E34" s="1013">
        <f t="shared" si="2"/>
        <v>0</v>
      </c>
      <c r="F34" s="1013">
        <f>'Table 4 Level 3'!P33</f>
        <v>694.4</v>
      </c>
      <c r="G34" s="1013">
        <f t="shared" si="3"/>
        <v>0</v>
      </c>
      <c r="H34" s="989">
        <f t="shared" si="4"/>
        <v>0</v>
      </c>
      <c r="I34" s="1023">
        <f t="shared" si="5"/>
        <v>0</v>
      </c>
      <c r="J34" s="989">
        <f t="shared" si="6"/>
        <v>0</v>
      </c>
      <c r="K34" s="989">
        <v>0</v>
      </c>
      <c r="L34" s="989">
        <f t="shared" si="7"/>
        <v>0</v>
      </c>
      <c r="M34" s="989">
        <f t="shared" si="8"/>
        <v>0</v>
      </c>
      <c r="N34" s="981">
        <f>'Table 5C1A-Madison Prep'!N34</f>
        <v>5361</v>
      </c>
      <c r="O34" s="983">
        <f t="shared" si="9"/>
        <v>0</v>
      </c>
      <c r="P34" s="1029">
        <f t="shared" si="10"/>
        <v>0</v>
      </c>
      <c r="Q34" s="983">
        <f t="shared" si="11"/>
        <v>0</v>
      </c>
      <c r="R34" s="983">
        <v>0</v>
      </c>
      <c r="S34" s="983">
        <f t="shared" si="12"/>
        <v>0</v>
      </c>
      <c r="T34" s="983">
        <f t="shared" si="13"/>
        <v>0</v>
      </c>
      <c r="U34" s="984">
        <f t="shared" si="14"/>
        <v>0</v>
      </c>
      <c r="V34" s="984">
        <f t="shared" si="14"/>
        <v>0</v>
      </c>
    </row>
    <row r="35" spans="1:22">
      <c r="A35" s="960">
        <v>29</v>
      </c>
      <c r="B35" s="961" t="s">
        <v>121</v>
      </c>
      <c r="C35" s="1081">
        <v>0</v>
      </c>
      <c r="D35" s="966">
        <f>'Table 3 Levels 1&amp;2'!AL36</f>
        <v>3952.5586133052648</v>
      </c>
      <c r="E35" s="1013">
        <f t="shared" si="2"/>
        <v>0</v>
      </c>
      <c r="F35" s="1013">
        <f>'Table 4 Level 3'!P34</f>
        <v>754.94999999999993</v>
      </c>
      <c r="G35" s="1013">
        <f t="shared" si="3"/>
        <v>0</v>
      </c>
      <c r="H35" s="989">
        <f t="shared" si="4"/>
        <v>0</v>
      </c>
      <c r="I35" s="1023">
        <f t="shared" si="5"/>
        <v>0</v>
      </c>
      <c r="J35" s="989">
        <f t="shared" si="6"/>
        <v>0</v>
      </c>
      <c r="K35" s="989">
        <v>0</v>
      </c>
      <c r="L35" s="989">
        <f t="shared" si="7"/>
        <v>0</v>
      </c>
      <c r="M35" s="989">
        <f t="shared" si="8"/>
        <v>0</v>
      </c>
      <c r="N35" s="981">
        <f>'Table 5C1A-Madison Prep'!N35</f>
        <v>4763</v>
      </c>
      <c r="O35" s="983">
        <f t="shared" si="9"/>
        <v>0</v>
      </c>
      <c r="P35" s="1029">
        <f t="shared" si="10"/>
        <v>0</v>
      </c>
      <c r="Q35" s="983">
        <f t="shared" si="11"/>
        <v>0</v>
      </c>
      <c r="R35" s="983">
        <v>0</v>
      </c>
      <c r="S35" s="983">
        <f t="shared" si="12"/>
        <v>0</v>
      </c>
      <c r="T35" s="983">
        <f t="shared" si="13"/>
        <v>0</v>
      </c>
      <c r="U35" s="984">
        <f t="shared" si="14"/>
        <v>0</v>
      </c>
      <c r="V35" s="984">
        <f t="shared" si="14"/>
        <v>0</v>
      </c>
    </row>
    <row r="36" spans="1:22">
      <c r="A36" s="963">
        <v>30</v>
      </c>
      <c r="B36" s="964" t="s">
        <v>122</v>
      </c>
      <c r="C36" s="1082">
        <v>0</v>
      </c>
      <c r="D36" s="967">
        <f>'Table 3 Levels 1&amp;2'!AL37</f>
        <v>5648.6510465852989</v>
      </c>
      <c r="E36" s="1014">
        <f t="shared" si="2"/>
        <v>0</v>
      </c>
      <c r="F36" s="1014">
        <f>'Table 4 Level 3'!P35</f>
        <v>727.17</v>
      </c>
      <c r="G36" s="1014">
        <f t="shared" si="3"/>
        <v>0</v>
      </c>
      <c r="H36" s="990">
        <f t="shared" si="4"/>
        <v>0</v>
      </c>
      <c r="I36" s="1024">
        <f t="shared" si="5"/>
        <v>0</v>
      </c>
      <c r="J36" s="990">
        <f t="shared" si="6"/>
        <v>0</v>
      </c>
      <c r="K36" s="990">
        <v>0</v>
      </c>
      <c r="L36" s="990">
        <f t="shared" si="7"/>
        <v>0</v>
      </c>
      <c r="M36" s="990">
        <f t="shared" si="8"/>
        <v>0</v>
      </c>
      <c r="N36" s="986">
        <f>'Table 5C1A-Madison Prep'!N36</f>
        <v>3236</v>
      </c>
      <c r="O36" s="987">
        <f t="shared" si="9"/>
        <v>0</v>
      </c>
      <c r="P36" s="1030">
        <f t="shared" si="10"/>
        <v>0</v>
      </c>
      <c r="Q36" s="987">
        <f t="shared" si="11"/>
        <v>0</v>
      </c>
      <c r="R36" s="987">
        <v>0</v>
      </c>
      <c r="S36" s="987">
        <f t="shared" si="12"/>
        <v>0</v>
      </c>
      <c r="T36" s="987">
        <f t="shared" si="13"/>
        <v>0</v>
      </c>
      <c r="U36" s="988">
        <f t="shared" si="14"/>
        <v>0</v>
      </c>
      <c r="V36" s="988">
        <f t="shared" si="14"/>
        <v>0</v>
      </c>
    </row>
    <row r="37" spans="1:22">
      <c r="A37" s="953">
        <v>31</v>
      </c>
      <c r="B37" s="954" t="s">
        <v>123</v>
      </c>
      <c r="C37" s="1083">
        <v>0</v>
      </c>
      <c r="D37" s="968">
        <f>'Table 3 Levels 1&amp;2'!AL38</f>
        <v>4348.9307899232972</v>
      </c>
      <c r="E37" s="1015">
        <f t="shared" si="2"/>
        <v>0</v>
      </c>
      <c r="F37" s="1015">
        <f>'Table 4 Level 3'!P36</f>
        <v>620.83000000000004</v>
      </c>
      <c r="G37" s="1015">
        <f t="shared" si="3"/>
        <v>0</v>
      </c>
      <c r="H37" s="991">
        <f t="shared" si="4"/>
        <v>0</v>
      </c>
      <c r="I37" s="1025">
        <f t="shared" si="5"/>
        <v>0</v>
      </c>
      <c r="J37" s="991">
        <f t="shared" si="6"/>
        <v>0</v>
      </c>
      <c r="K37" s="991">
        <v>0</v>
      </c>
      <c r="L37" s="991">
        <f t="shared" si="7"/>
        <v>0</v>
      </c>
      <c r="M37" s="991">
        <f t="shared" si="8"/>
        <v>0</v>
      </c>
      <c r="N37" s="981">
        <f>'Table 5C1A-Madison Prep'!N37</f>
        <v>4795</v>
      </c>
      <c r="O37" s="958">
        <f t="shared" si="9"/>
        <v>0</v>
      </c>
      <c r="P37" s="1028">
        <f t="shared" si="10"/>
        <v>0</v>
      </c>
      <c r="Q37" s="958">
        <f t="shared" si="11"/>
        <v>0</v>
      </c>
      <c r="R37" s="958">
        <v>0</v>
      </c>
      <c r="S37" s="958">
        <f t="shared" si="12"/>
        <v>0</v>
      </c>
      <c r="T37" s="958">
        <f t="shared" si="13"/>
        <v>0</v>
      </c>
      <c r="U37" s="959">
        <f t="shared" si="14"/>
        <v>0</v>
      </c>
      <c r="V37" s="959">
        <f t="shared" si="14"/>
        <v>0</v>
      </c>
    </row>
    <row r="38" spans="1:22">
      <c r="A38" s="960">
        <v>32</v>
      </c>
      <c r="B38" s="961" t="s">
        <v>124</v>
      </c>
      <c r="C38" s="1081">
        <v>0</v>
      </c>
      <c r="D38" s="966">
        <f>'Table 3 Levels 1&amp;2'!AL39</f>
        <v>5531.5157655456787</v>
      </c>
      <c r="E38" s="1013">
        <f t="shared" si="2"/>
        <v>0</v>
      </c>
      <c r="F38" s="1013">
        <f>'Table 4 Level 3'!P37</f>
        <v>559.77</v>
      </c>
      <c r="G38" s="1013">
        <f t="shared" si="3"/>
        <v>0</v>
      </c>
      <c r="H38" s="989">
        <f t="shared" si="4"/>
        <v>0</v>
      </c>
      <c r="I38" s="1023">
        <f t="shared" si="5"/>
        <v>0</v>
      </c>
      <c r="J38" s="989">
        <f t="shared" si="6"/>
        <v>0</v>
      </c>
      <c r="K38" s="989">
        <v>0</v>
      </c>
      <c r="L38" s="989">
        <f t="shared" si="7"/>
        <v>0</v>
      </c>
      <c r="M38" s="989">
        <f t="shared" si="8"/>
        <v>0</v>
      </c>
      <c r="N38" s="981">
        <f>'Table 5C1A-Madison Prep'!N38</f>
        <v>2109</v>
      </c>
      <c r="O38" s="983">
        <f t="shared" si="9"/>
        <v>0</v>
      </c>
      <c r="P38" s="1029">
        <f t="shared" si="10"/>
        <v>0</v>
      </c>
      <c r="Q38" s="983">
        <f t="shared" si="11"/>
        <v>0</v>
      </c>
      <c r="R38" s="983">
        <v>0</v>
      </c>
      <c r="S38" s="983">
        <f t="shared" si="12"/>
        <v>0</v>
      </c>
      <c r="T38" s="983">
        <f t="shared" si="13"/>
        <v>0</v>
      </c>
      <c r="U38" s="984">
        <f t="shared" si="14"/>
        <v>0</v>
      </c>
      <c r="V38" s="984">
        <f t="shared" si="14"/>
        <v>0</v>
      </c>
    </row>
    <row r="39" spans="1:22">
      <c r="A39" s="960">
        <v>33</v>
      </c>
      <c r="B39" s="961" t="s">
        <v>125</v>
      </c>
      <c r="C39" s="1081">
        <v>232</v>
      </c>
      <c r="D39" s="966">
        <f>'Table 3 Levels 1&amp;2'!AL40</f>
        <v>5329.5444226517857</v>
      </c>
      <c r="E39" s="1013">
        <f t="shared" si="2"/>
        <v>1236454.3060552143</v>
      </c>
      <c r="F39" s="1013">
        <f>'Table 4 Level 3'!P38</f>
        <v>655.31000000000006</v>
      </c>
      <c r="G39" s="1013">
        <f t="shared" si="3"/>
        <v>152031.92000000001</v>
      </c>
      <c r="H39" s="989">
        <f t="shared" si="4"/>
        <v>1388486.2260552142</v>
      </c>
      <c r="I39" s="1023">
        <f t="shared" si="5"/>
        <v>-3471.2155651380353</v>
      </c>
      <c r="J39" s="989">
        <f t="shared" si="6"/>
        <v>1385015.0104900762</v>
      </c>
      <c r="K39" s="989">
        <v>0</v>
      </c>
      <c r="L39" s="989">
        <f t="shared" si="7"/>
        <v>1385015.0104900762</v>
      </c>
      <c r="M39" s="989">
        <f t="shared" si="8"/>
        <v>115417.91754083968</v>
      </c>
      <c r="N39" s="981">
        <f>'Table 5C1A-Madison Prep'!N39</f>
        <v>2649</v>
      </c>
      <c r="O39" s="983">
        <f t="shared" si="9"/>
        <v>614568</v>
      </c>
      <c r="P39" s="1029">
        <f t="shared" si="10"/>
        <v>-1536.42</v>
      </c>
      <c r="Q39" s="983">
        <f t="shared" si="11"/>
        <v>613031.57999999996</v>
      </c>
      <c r="R39" s="983">
        <v>0</v>
      </c>
      <c r="S39" s="983">
        <f t="shared" si="12"/>
        <v>613031.57999999996</v>
      </c>
      <c r="T39" s="983">
        <f t="shared" si="13"/>
        <v>51085.964999999997</v>
      </c>
      <c r="U39" s="984">
        <f t="shared" si="14"/>
        <v>1998046.5904900762</v>
      </c>
      <c r="V39" s="984">
        <f t="shared" si="14"/>
        <v>166503.88254083967</v>
      </c>
    </row>
    <row r="40" spans="1:22">
      <c r="A40" s="960">
        <v>34</v>
      </c>
      <c r="B40" s="961" t="s">
        <v>126</v>
      </c>
      <c r="C40" s="1081">
        <v>0</v>
      </c>
      <c r="D40" s="966">
        <f>'Table 3 Levels 1&amp;2'!AL41</f>
        <v>6003.632932007491</v>
      </c>
      <c r="E40" s="1013">
        <f t="shared" si="2"/>
        <v>0</v>
      </c>
      <c r="F40" s="1013">
        <f>'Table 4 Level 3'!P39</f>
        <v>644.11000000000013</v>
      </c>
      <c r="G40" s="1013">
        <f t="shared" si="3"/>
        <v>0</v>
      </c>
      <c r="H40" s="989">
        <f t="shared" si="4"/>
        <v>0</v>
      </c>
      <c r="I40" s="1023">
        <f t="shared" si="5"/>
        <v>0</v>
      </c>
      <c r="J40" s="989">
        <f t="shared" si="6"/>
        <v>0</v>
      </c>
      <c r="K40" s="989">
        <v>0</v>
      </c>
      <c r="L40" s="989">
        <f t="shared" si="7"/>
        <v>0</v>
      </c>
      <c r="M40" s="989">
        <f t="shared" si="8"/>
        <v>0</v>
      </c>
      <c r="N40" s="981">
        <f>'Table 5C1A-Madison Prep'!N40</f>
        <v>2817</v>
      </c>
      <c r="O40" s="983">
        <f t="shared" si="9"/>
        <v>0</v>
      </c>
      <c r="P40" s="1029">
        <f t="shared" si="10"/>
        <v>0</v>
      </c>
      <c r="Q40" s="983">
        <f t="shared" si="11"/>
        <v>0</v>
      </c>
      <c r="R40" s="983">
        <v>0</v>
      </c>
      <c r="S40" s="983">
        <f t="shared" si="12"/>
        <v>0</v>
      </c>
      <c r="T40" s="983">
        <f t="shared" si="13"/>
        <v>0</v>
      </c>
      <c r="U40" s="984">
        <f t="shared" si="14"/>
        <v>0</v>
      </c>
      <c r="V40" s="984">
        <f t="shared" si="14"/>
        <v>0</v>
      </c>
    </row>
    <row r="41" spans="1:22">
      <c r="A41" s="963">
        <v>35</v>
      </c>
      <c r="B41" s="964" t="s">
        <v>127</v>
      </c>
      <c r="C41" s="1082">
        <v>0</v>
      </c>
      <c r="D41" s="967">
        <f>'Table 3 Levels 1&amp;2'!AL42</f>
        <v>4607.1606416222867</v>
      </c>
      <c r="E41" s="1014">
        <f t="shared" si="2"/>
        <v>0</v>
      </c>
      <c r="F41" s="1014">
        <f>'Table 4 Level 3'!P40</f>
        <v>537.96</v>
      </c>
      <c r="G41" s="1014">
        <f t="shared" si="3"/>
        <v>0</v>
      </c>
      <c r="H41" s="990">
        <f t="shared" si="4"/>
        <v>0</v>
      </c>
      <c r="I41" s="1024">
        <f t="shared" si="5"/>
        <v>0</v>
      </c>
      <c r="J41" s="990">
        <f t="shared" si="6"/>
        <v>0</v>
      </c>
      <c r="K41" s="990">
        <v>0</v>
      </c>
      <c r="L41" s="990">
        <f t="shared" si="7"/>
        <v>0</v>
      </c>
      <c r="M41" s="990">
        <f t="shared" si="8"/>
        <v>0</v>
      </c>
      <c r="N41" s="986">
        <f>'Table 5C1A-Madison Prep'!N41</f>
        <v>3298</v>
      </c>
      <c r="O41" s="987">
        <f t="shared" si="9"/>
        <v>0</v>
      </c>
      <c r="P41" s="1030">
        <f t="shared" si="10"/>
        <v>0</v>
      </c>
      <c r="Q41" s="987">
        <f t="shared" si="11"/>
        <v>0</v>
      </c>
      <c r="R41" s="987">
        <v>0</v>
      </c>
      <c r="S41" s="987">
        <f t="shared" si="12"/>
        <v>0</v>
      </c>
      <c r="T41" s="987">
        <f t="shared" si="13"/>
        <v>0</v>
      </c>
      <c r="U41" s="988">
        <f t="shared" si="14"/>
        <v>0</v>
      </c>
      <c r="V41" s="988">
        <f t="shared" si="14"/>
        <v>0</v>
      </c>
    </row>
    <row r="42" spans="1:22">
      <c r="A42" s="953">
        <v>36</v>
      </c>
      <c r="B42" s="954" t="s">
        <v>128</v>
      </c>
      <c r="C42" s="1083">
        <v>0</v>
      </c>
      <c r="D42" s="968">
        <f>'Table 3 Levels 1&amp;2'!AL43</f>
        <v>3520.4894337711748</v>
      </c>
      <c r="E42" s="1015">
        <f t="shared" si="2"/>
        <v>0</v>
      </c>
      <c r="F42" s="1015">
        <v>746.0335616438357</v>
      </c>
      <c r="G42" s="1015">
        <f t="shared" si="3"/>
        <v>0</v>
      </c>
      <c r="H42" s="991">
        <f t="shared" si="4"/>
        <v>0</v>
      </c>
      <c r="I42" s="1025">
        <f t="shared" si="5"/>
        <v>0</v>
      </c>
      <c r="J42" s="991">
        <f t="shared" si="6"/>
        <v>0</v>
      </c>
      <c r="K42" s="991">
        <v>0</v>
      </c>
      <c r="L42" s="991">
        <f t="shared" si="7"/>
        <v>0</v>
      </c>
      <c r="M42" s="991">
        <f t="shared" si="8"/>
        <v>0</v>
      </c>
      <c r="N42" s="981">
        <f>'Table 5C1A-Madison Prep'!N42</f>
        <v>5442</v>
      </c>
      <c r="O42" s="958">
        <f t="shared" si="9"/>
        <v>0</v>
      </c>
      <c r="P42" s="1028">
        <f t="shared" si="10"/>
        <v>0</v>
      </c>
      <c r="Q42" s="958">
        <f t="shared" si="11"/>
        <v>0</v>
      </c>
      <c r="R42" s="958">
        <v>0</v>
      </c>
      <c r="S42" s="958">
        <f t="shared" si="12"/>
        <v>0</v>
      </c>
      <c r="T42" s="958">
        <f t="shared" si="13"/>
        <v>0</v>
      </c>
      <c r="U42" s="959">
        <f t="shared" si="14"/>
        <v>0</v>
      </c>
      <c r="V42" s="959">
        <f t="shared" si="14"/>
        <v>0</v>
      </c>
    </row>
    <row r="43" spans="1:22">
      <c r="A43" s="960">
        <v>37</v>
      </c>
      <c r="B43" s="961" t="s">
        <v>129</v>
      </c>
      <c r="C43" s="1081">
        <v>0</v>
      </c>
      <c r="D43" s="966">
        <f>'Table 3 Levels 1&amp;2'!AL44</f>
        <v>5503.7595641818853</v>
      </c>
      <c r="E43" s="1013">
        <f t="shared" si="2"/>
        <v>0</v>
      </c>
      <c r="F43" s="1013">
        <f>'Table 4 Level 3'!P42</f>
        <v>653.61</v>
      </c>
      <c r="G43" s="1013">
        <f t="shared" si="3"/>
        <v>0</v>
      </c>
      <c r="H43" s="989">
        <f t="shared" si="4"/>
        <v>0</v>
      </c>
      <c r="I43" s="1023">
        <f t="shared" si="5"/>
        <v>0</v>
      </c>
      <c r="J43" s="989">
        <f t="shared" si="6"/>
        <v>0</v>
      </c>
      <c r="K43" s="989">
        <v>0</v>
      </c>
      <c r="L43" s="989">
        <f t="shared" si="7"/>
        <v>0</v>
      </c>
      <c r="M43" s="989">
        <f t="shared" si="8"/>
        <v>0</v>
      </c>
      <c r="N43" s="981">
        <f>'Table 5C1A-Madison Prep'!N43</f>
        <v>3227</v>
      </c>
      <c r="O43" s="983">
        <f t="shared" si="9"/>
        <v>0</v>
      </c>
      <c r="P43" s="1029">
        <f t="shared" si="10"/>
        <v>0</v>
      </c>
      <c r="Q43" s="983">
        <f t="shared" si="11"/>
        <v>0</v>
      </c>
      <c r="R43" s="983">
        <v>0</v>
      </c>
      <c r="S43" s="983">
        <f t="shared" si="12"/>
        <v>0</v>
      </c>
      <c r="T43" s="983">
        <f t="shared" si="13"/>
        <v>0</v>
      </c>
      <c r="U43" s="984">
        <f t="shared" si="14"/>
        <v>0</v>
      </c>
      <c r="V43" s="984">
        <f t="shared" si="14"/>
        <v>0</v>
      </c>
    </row>
    <row r="44" spans="1:22">
      <c r="A44" s="960">
        <v>38</v>
      </c>
      <c r="B44" s="961" t="s">
        <v>130</v>
      </c>
      <c r="C44" s="1081">
        <v>0</v>
      </c>
      <c r="D44" s="966">
        <f>'Table 3 Levels 1&amp;2'!AL45</f>
        <v>2192.7545275590551</v>
      </c>
      <c r="E44" s="1013">
        <f t="shared" si="2"/>
        <v>0</v>
      </c>
      <c r="F44" s="1013">
        <f>'Table 4 Level 3'!P43</f>
        <v>829.92000000000007</v>
      </c>
      <c r="G44" s="1013">
        <f t="shared" si="3"/>
        <v>0</v>
      </c>
      <c r="H44" s="989">
        <f t="shared" si="4"/>
        <v>0</v>
      </c>
      <c r="I44" s="1023">
        <f t="shared" si="5"/>
        <v>0</v>
      </c>
      <c r="J44" s="989">
        <f t="shared" si="6"/>
        <v>0</v>
      </c>
      <c r="K44" s="989">
        <v>0</v>
      </c>
      <c r="L44" s="989">
        <f t="shared" si="7"/>
        <v>0</v>
      </c>
      <c r="M44" s="989">
        <f t="shared" si="8"/>
        <v>0</v>
      </c>
      <c r="N44" s="981">
        <f>'Table 5C1A-Madison Prep'!N44</f>
        <v>10867</v>
      </c>
      <c r="O44" s="983">
        <f t="shared" si="9"/>
        <v>0</v>
      </c>
      <c r="P44" s="1029">
        <f t="shared" si="10"/>
        <v>0</v>
      </c>
      <c r="Q44" s="983">
        <f t="shared" si="11"/>
        <v>0</v>
      </c>
      <c r="R44" s="983">
        <v>0</v>
      </c>
      <c r="S44" s="983">
        <f t="shared" si="12"/>
        <v>0</v>
      </c>
      <c r="T44" s="983">
        <f t="shared" si="13"/>
        <v>0</v>
      </c>
      <c r="U44" s="984">
        <f t="shared" si="14"/>
        <v>0</v>
      </c>
      <c r="V44" s="984">
        <f t="shared" si="14"/>
        <v>0</v>
      </c>
    </row>
    <row r="45" spans="1:22">
      <c r="A45" s="960">
        <v>39</v>
      </c>
      <c r="B45" s="961" t="s">
        <v>131</v>
      </c>
      <c r="C45" s="1081">
        <v>0</v>
      </c>
      <c r="D45" s="966">
        <f>'Table 3 Levels 1&amp;2'!AL46</f>
        <v>3639.9942778062696</v>
      </c>
      <c r="E45" s="1013">
        <f t="shared" si="2"/>
        <v>0</v>
      </c>
      <c r="F45" s="1013">
        <f>'Table 4 Level 3'!P44</f>
        <v>779.65573042776441</v>
      </c>
      <c r="G45" s="1013">
        <f t="shared" si="3"/>
        <v>0</v>
      </c>
      <c r="H45" s="989">
        <f t="shared" si="4"/>
        <v>0</v>
      </c>
      <c r="I45" s="1023">
        <f t="shared" si="5"/>
        <v>0</v>
      </c>
      <c r="J45" s="989">
        <f t="shared" si="6"/>
        <v>0</v>
      </c>
      <c r="K45" s="989">
        <v>0</v>
      </c>
      <c r="L45" s="989">
        <f t="shared" si="7"/>
        <v>0</v>
      </c>
      <c r="M45" s="989">
        <f t="shared" si="8"/>
        <v>0</v>
      </c>
      <c r="N45" s="981">
        <f>'Table 5C1A-Madison Prep'!N45</f>
        <v>4324</v>
      </c>
      <c r="O45" s="983">
        <f t="shared" si="9"/>
        <v>0</v>
      </c>
      <c r="P45" s="1029">
        <f t="shared" si="10"/>
        <v>0</v>
      </c>
      <c r="Q45" s="983">
        <f t="shared" si="11"/>
        <v>0</v>
      </c>
      <c r="R45" s="983">
        <v>0</v>
      </c>
      <c r="S45" s="983">
        <f t="shared" si="12"/>
        <v>0</v>
      </c>
      <c r="T45" s="983">
        <f t="shared" si="13"/>
        <v>0</v>
      </c>
      <c r="U45" s="984">
        <f t="shared" si="14"/>
        <v>0</v>
      </c>
      <c r="V45" s="984">
        <f t="shared" si="14"/>
        <v>0</v>
      </c>
    </row>
    <row r="46" spans="1:22">
      <c r="A46" s="963">
        <v>40</v>
      </c>
      <c r="B46" s="964" t="s">
        <v>132</v>
      </c>
      <c r="C46" s="1082">
        <v>0</v>
      </c>
      <c r="D46" s="967">
        <f>'Table 3 Levels 1&amp;2'!AL47</f>
        <v>4928.4974462701202</v>
      </c>
      <c r="E46" s="1014">
        <f t="shared" si="2"/>
        <v>0</v>
      </c>
      <c r="F46" s="1014">
        <f>'Table 4 Level 3'!P45</f>
        <v>700.2700000000001</v>
      </c>
      <c r="G46" s="1014">
        <f t="shared" si="3"/>
        <v>0</v>
      </c>
      <c r="H46" s="990">
        <f t="shared" si="4"/>
        <v>0</v>
      </c>
      <c r="I46" s="1024">
        <f t="shared" si="5"/>
        <v>0</v>
      </c>
      <c r="J46" s="990">
        <f t="shared" si="6"/>
        <v>0</v>
      </c>
      <c r="K46" s="990">
        <v>0</v>
      </c>
      <c r="L46" s="990">
        <f t="shared" si="7"/>
        <v>0</v>
      </c>
      <c r="M46" s="990">
        <f t="shared" si="8"/>
        <v>0</v>
      </c>
      <c r="N46" s="986">
        <f>'Table 5C1A-Madison Prep'!N46</f>
        <v>3007</v>
      </c>
      <c r="O46" s="987">
        <f t="shared" si="9"/>
        <v>0</v>
      </c>
      <c r="P46" s="1030">
        <f t="shared" si="10"/>
        <v>0</v>
      </c>
      <c r="Q46" s="987">
        <f t="shared" si="11"/>
        <v>0</v>
      </c>
      <c r="R46" s="987">
        <v>0</v>
      </c>
      <c r="S46" s="987">
        <f t="shared" si="12"/>
        <v>0</v>
      </c>
      <c r="T46" s="987">
        <f t="shared" si="13"/>
        <v>0</v>
      </c>
      <c r="U46" s="988">
        <f t="shared" si="14"/>
        <v>0</v>
      </c>
      <c r="V46" s="988">
        <f t="shared" si="14"/>
        <v>0</v>
      </c>
    </row>
    <row r="47" spans="1:22">
      <c r="A47" s="953">
        <v>41</v>
      </c>
      <c r="B47" s="954" t="s">
        <v>133</v>
      </c>
      <c r="C47" s="1083">
        <v>0</v>
      </c>
      <c r="D47" s="968">
        <f>'Table 3 Levels 1&amp;2'!AL48</f>
        <v>1615.6013465627216</v>
      </c>
      <c r="E47" s="1015">
        <f t="shared" si="2"/>
        <v>0</v>
      </c>
      <c r="F47" s="1015">
        <f>'Table 4 Level 3'!P46</f>
        <v>886.22</v>
      </c>
      <c r="G47" s="1015">
        <f t="shared" si="3"/>
        <v>0</v>
      </c>
      <c r="H47" s="991">
        <f t="shared" si="4"/>
        <v>0</v>
      </c>
      <c r="I47" s="1025">
        <f t="shared" si="5"/>
        <v>0</v>
      </c>
      <c r="J47" s="991">
        <f t="shared" si="6"/>
        <v>0</v>
      </c>
      <c r="K47" s="991">
        <v>0</v>
      </c>
      <c r="L47" s="991">
        <f t="shared" si="7"/>
        <v>0</v>
      </c>
      <c r="M47" s="991">
        <f t="shared" si="8"/>
        <v>0</v>
      </c>
      <c r="N47" s="981">
        <f>'Table 5C1A-Madison Prep'!N47</f>
        <v>9087</v>
      </c>
      <c r="O47" s="958">
        <f t="shared" si="9"/>
        <v>0</v>
      </c>
      <c r="P47" s="1028">
        <f t="shared" si="10"/>
        <v>0</v>
      </c>
      <c r="Q47" s="958">
        <f t="shared" si="11"/>
        <v>0</v>
      </c>
      <c r="R47" s="958">
        <v>0</v>
      </c>
      <c r="S47" s="958">
        <f t="shared" si="12"/>
        <v>0</v>
      </c>
      <c r="T47" s="958">
        <f t="shared" si="13"/>
        <v>0</v>
      </c>
      <c r="U47" s="959">
        <f t="shared" si="14"/>
        <v>0</v>
      </c>
      <c r="V47" s="959">
        <f t="shared" si="14"/>
        <v>0</v>
      </c>
    </row>
    <row r="48" spans="1:22">
      <c r="A48" s="960">
        <v>42</v>
      </c>
      <c r="B48" s="961" t="s">
        <v>134</v>
      </c>
      <c r="C48" s="1081">
        <v>0</v>
      </c>
      <c r="D48" s="966">
        <f>'Table 3 Levels 1&amp;2'!AL49</f>
        <v>5087.4730460987803</v>
      </c>
      <c r="E48" s="1013">
        <f t="shared" si="2"/>
        <v>0</v>
      </c>
      <c r="F48" s="1013">
        <f>'Table 4 Level 3'!P47</f>
        <v>534.28</v>
      </c>
      <c r="G48" s="1013">
        <f t="shared" si="3"/>
        <v>0</v>
      </c>
      <c r="H48" s="989">
        <f t="shared" si="4"/>
        <v>0</v>
      </c>
      <c r="I48" s="1023">
        <f t="shared" si="5"/>
        <v>0</v>
      </c>
      <c r="J48" s="989">
        <f t="shared" si="6"/>
        <v>0</v>
      </c>
      <c r="K48" s="989">
        <v>0</v>
      </c>
      <c r="L48" s="989">
        <f t="shared" si="7"/>
        <v>0</v>
      </c>
      <c r="M48" s="989">
        <f t="shared" si="8"/>
        <v>0</v>
      </c>
      <c r="N48" s="981">
        <f>'Table 5C1A-Madison Prep'!N48</f>
        <v>2867</v>
      </c>
      <c r="O48" s="983">
        <f t="shared" si="9"/>
        <v>0</v>
      </c>
      <c r="P48" s="1029">
        <f t="shared" si="10"/>
        <v>0</v>
      </c>
      <c r="Q48" s="983">
        <f t="shared" si="11"/>
        <v>0</v>
      </c>
      <c r="R48" s="983">
        <v>0</v>
      </c>
      <c r="S48" s="983">
        <f t="shared" si="12"/>
        <v>0</v>
      </c>
      <c r="T48" s="983">
        <f t="shared" si="13"/>
        <v>0</v>
      </c>
      <c r="U48" s="984">
        <f t="shared" si="14"/>
        <v>0</v>
      </c>
      <c r="V48" s="984">
        <f t="shared" si="14"/>
        <v>0</v>
      </c>
    </row>
    <row r="49" spans="1:22">
      <c r="A49" s="960">
        <v>43</v>
      </c>
      <c r="B49" s="961" t="s">
        <v>135</v>
      </c>
      <c r="C49" s="1081">
        <v>0</v>
      </c>
      <c r="D49" s="966">
        <f>'Table 3 Levels 1&amp;2'!AL50</f>
        <v>4717.8414352725031</v>
      </c>
      <c r="E49" s="1013">
        <f t="shared" si="2"/>
        <v>0</v>
      </c>
      <c r="F49" s="1013">
        <f>'Table 4 Level 3'!P48</f>
        <v>574.6099999999999</v>
      </c>
      <c r="G49" s="1013">
        <f t="shared" si="3"/>
        <v>0</v>
      </c>
      <c r="H49" s="989">
        <f t="shared" si="4"/>
        <v>0</v>
      </c>
      <c r="I49" s="1023">
        <f t="shared" si="5"/>
        <v>0</v>
      </c>
      <c r="J49" s="989">
        <f t="shared" si="6"/>
        <v>0</v>
      </c>
      <c r="K49" s="989">
        <v>0</v>
      </c>
      <c r="L49" s="989">
        <f t="shared" si="7"/>
        <v>0</v>
      </c>
      <c r="M49" s="989">
        <f t="shared" si="8"/>
        <v>0</v>
      </c>
      <c r="N49" s="981">
        <f>'Table 5C1A-Madison Prep'!N49</f>
        <v>3587</v>
      </c>
      <c r="O49" s="983">
        <f t="shared" si="9"/>
        <v>0</v>
      </c>
      <c r="P49" s="1029">
        <f t="shared" si="10"/>
        <v>0</v>
      </c>
      <c r="Q49" s="983">
        <f t="shared" si="11"/>
        <v>0</v>
      </c>
      <c r="R49" s="983">
        <v>0</v>
      </c>
      <c r="S49" s="983">
        <f t="shared" si="12"/>
        <v>0</v>
      </c>
      <c r="T49" s="983">
        <f t="shared" si="13"/>
        <v>0</v>
      </c>
      <c r="U49" s="984">
        <f t="shared" si="14"/>
        <v>0</v>
      </c>
      <c r="V49" s="984">
        <f t="shared" si="14"/>
        <v>0</v>
      </c>
    </row>
    <row r="50" spans="1:22">
      <c r="A50" s="960">
        <v>44</v>
      </c>
      <c r="B50" s="961" t="s">
        <v>136</v>
      </c>
      <c r="C50" s="1081">
        <v>0</v>
      </c>
      <c r="D50" s="966">
        <f>'Table 3 Levels 1&amp;2'!AL51</f>
        <v>4696.6221228259064</v>
      </c>
      <c r="E50" s="1013">
        <f t="shared" si="2"/>
        <v>0</v>
      </c>
      <c r="F50" s="1013">
        <f>'Table 4 Level 3'!P49</f>
        <v>663.16000000000008</v>
      </c>
      <c r="G50" s="1013">
        <f t="shared" si="3"/>
        <v>0</v>
      </c>
      <c r="H50" s="989">
        <f t="shared" si="4"/>
        <v>0</v>
      </c>
      <c r="I50" s="1023">
        <f t="shared" si="5"/>
        <v>0</v>
      </c>
      <c r="J50" s="989">
        <f t="shared" si="6"/>
        <v>0</v>
      </c>
      <c r="K50" s="989">
        <v>0</v>
      </c>
      <c r="L50" s="989">
        <f t="shared" si="7"/>
        <v>0</v>
      </c>
      <c r="M50" s="989">
        <f t="shared" si="8"/>
        <v>0</v>
      </c>
      <c r="N50" s="981">
        <f>'Table 5C1A-Madison Prep'!N50</f>
        <v>4561</v>
      </c>
      <c r="O50" s="983">
        <f t="shared" si="9"/>
        <v>0</v>
      </c>
      <c r="P50" s="1029">
        <f t="shared" si="10"/>
        <v>0</v>
      </c>
      <c r="Q50" s="983">
        <f t="shared" si="11"/>
        <v>0</v>
      </c>
      <c r="R50" s="983">
        <v>0</v>
      </c>
      <c r="S50" s="983">
        <f t="shared" si="12"/>
        <v>0</v>
      </c>
      <c r="T50" s="983">
        <f t="shared" si="13"/>
        <v>0</v>
      </c>
      <c r="U50" s="984">
        <f t="shared" si="14"/>
        <v>0</v>
      </c>
      <c r="V50" s="984">
        <f t="shared" si="14"/>
        <v>0</v>
      </c>
    </row>
    <row r="51" spans="1:22">
      <c r="A51" s="963">
        <v>45</v>
      </c>
      <c r="B51" s="964" t="s">
        <v>137</v>
      </c>
      <c r="C51" s="1082">
        <v>0</v>
      </c>
      <c r="D51" s="967">
        <f>'Table 3 Levels 1&amp;2'!AL52</f>
        <v>2192.4914538932262</v>
      </c>
      <c r="E51" s="1014">
        <f t="shared" si="2"/>
        <v>0</v>
      </c>
      <c r="F51" s="1014">
        <f>'Table 4 Level 3'!P50</f>
        <v>753.96000000000015</v>
      </c>
      <c r="G51" s="1014">
        <f t="shared" si="3"/>
        <v>0</v>
      </c>
      <c r="H51" s="990">
        <f t="shared" si="4"/>
        <v>0</v>
      </c>
      <c r="I51" s="1024">
        <f t="shared" si="5"/>
        <v>0</v>
      </c>
      <c r="J51" s="990">
        <f t="shared" si="6"/>
        <v>0</v>
      </c>
      <c r="K51" s="990">
        <v>0</v>
      </c>
      <c r="L51" s="990">
        <f t="shared" si="7"/>
        <v>0</v>
      </c>
      <c r="M51" s="990">
        <f t="shared" si="8"/>
        <v>0</v>
      </c>
      <c r="N51" s="986">
        <f>'Table 5C1A-Madison Prep'!N51</f>
        <v>11287</v>
      </c>
      <c r="O51" s="987">
        <f t="shared" si="9"/>
        <v>0</v>
      </c>
      <c r="P51" s="1030">
        <f t="shared" si="10"/>
        <v>0</v>
      </c>
      <c r="Q51" s="987">
        <f t="shared" si="11"/>
        <v>0</v>
      </c>
      <c r="R51" s="987">
        <v>0</v>
      </c>
      <c r="S51" s="987">
        <f t="shared" si="12"/>
        <v>0</v>
      </c>
      <c r="T51" s="987">
        <f t="shared" si="13"/>
        <v>0</v>
      </c>
      <c r="U51" s="988">
        <f t="shared" si="14"/>
        <v>0</v>
      </c>
      <c r="V51" s="988">
        <f t="shared" si="14"/>
        <v>0</v>
      </c>
    </row>
    <row r="52" spans="1:22">
      <c r="A52" s="953">
        <v>46</v>
      </c>
      <c r="B52" s="954" t="s">
        <v>138</v>
      </c>
      <c r="C52" s="1083">
        <v>0</v>
      </c>
      <c r="D52" s="968">
        <f>'Table 3 Levels 1&amp;2'!AL53</f>
        <v>5644.6599115241634</v>
      </c>
      <c r="E52" s="1015">
        <f t="shared" si="2"/>
        <v>0</v>
      </c>
      <c r="F52" s="1015">
        <f>'Table 4 Level 3'!P51</f>
        <v>728.06</v>
      </c>
      <c r="G52" s="1015">
        <f t="shared" si="3"/>
        <v>0</v>
      </c>
      <c r="H52" s="991">
        <f t="shared" si="4"/>
        <v>0</v>
      </c>
      <c r="I52" s="1025">
        <f t="shared" si="5"/>
        <v>0</v>
      </c>
      <c r="J52" s="991">
        <f t="shared" si="6"/>
        <v>0</v>
      </c>
      <c r="K52" s="991">
        <v>0</v>
      </c>
      <c r="L52" s="991">
        <f t="shared" si="7"/>
        <v>0</v>
      </c>
      <c r="M52" s="991">
        <f t="shared" si="8"/>
        <v>0</v>
      </c>
      <c r="N52" s="981">
        <f>'Table 5C1A-Madison Prep'!N52</f>
        <v>2150</v>
      </c>
      <c r="O52" s="958">
        <f t="shared" si="9"/>
        <v>0</v>
      </c>
      <c r="P52" s="1028">
        <f t="shared" si="10"/>
        <v>0</v>
      </c>
      <c r="Q52" s="958">
        <f t="shared" si="11"/>
        <v>0</v>
      </c>
      <c r="R52" s="958">
        <v>0</v>
      </c>
      <c r="S52" s="958">
        <f t="shared" si="12"/>
        <v>0</v>
      </c>
      <c r="T52" s="958">
        <f t="shared" si="13"/>
        <v>0</v>
      </c>
      <c r="U52" s="959">
        <f t="shared" si="14"/>
        <v>0</v>
      </c>
      <c r="V52" s="959">
        <f t="shared" si="14"/>
        <v>0</v>
      </c>
    </row>
    <row r="53" spans="1:22">
      <c r="A53" s="960">
        <v>47</v>
      </c>
      <c r="B53" s="961" t="s">
        <v>139</v>
      </c>
      <c r="C53" s="1081">
        <v>0</v>
      </c>
      <c r="D53" s="966">
        <f>'Table 3 Levels 1&amp;2'!AL54</f>
        <v>2731.2444076222037</v>
      </c>
      <c r="E53" s="1013">
        <f t="shared" si="2"/>
        <v>0</v>
      </c>
      <c r="F53" s="1013">
        <f>'Table 4 Level 3'!P52</f>
        <v>910.76</v>
      </c>
      <c r="G53" s="1013">
        <f t="shared" si="3"/>
        <v>0</v>
      </c>
      <c r="H53" s="989">
        <f t="shared" si="4"/>
        <v>0</v>
      </c>
      <c r="I53" s="1023">
        <f t="shared" si="5"/>
        <v>0</v>
      </c>
      <c r="J53" s="989">
        <f t="shared" si="6"/>
        <v>0</v>
      </c>
      <c r="K53" s="989">
        <v>0</v>
      </c>
      <c r="L53" s="989">
        <f t="shared" si="7"/>
        <v>0</v>
      </c>
      <c r="M53" s="989">
        <f t="shared" si="8"/>
        <v>0</v>
      </c>
      <c r="N53" s="981">
        <f>'Table 5C1A-Madison Prep'!N53</f>
        <v>13280</v>
      </c>
      <c r="O53" s="983">
        <f t="shared" si="9"/>
        <v>0</v>
      </c>
      <c r="P53" s="1029">
        <f t="shared" si="10"/>
        <v>0</v>
      </c>
      <c r="Q53" s="983">
        <f t="shared" si="11"/>
        <v>0</v>
      </c>
      <c r="R53" s="983">
        <v>0</v>
      </c>
      <c r="S53" s="983">
        <f t="shared" si="12"/>
        <v>0</v>
      </c>
      <c r="T53" s="983">
        <f t="shared" si="13"/>
        <v>0</v>
      </c>
      <c r="U53" s="984">
        <f t="shared" si="14"/>
        <v>0</v>
      </c>
      <c r="V53" s="984">
        <f t="shared" si="14"/>
        <v>0</v>
      </c>
    </row>
    <row r="54" spans="1:22">
      <c r="A54" s="960">
        <v>48</v>
      </c>
      <c r="B54" s="961" t="s">
        <v>197</v>
      </c>
      <c r="C54" s="1081">
        <v>0</v>
      </c>
      <c r="D54" s="966">
        <f>'Table 3 Levels 1&amp;2'!AL55</f>
        <v>4272.723323083942</v>
      </c>
      <c r="E54" s="1013">
        <f t="shared" si="2"/>
        <v>0</v>
      </c>
      <c r="F54" s="1013">
        <f>'Table 4 Level 3'!P53</f>
        <v>871.07</v>
      </c>
      <c r="G54" s="1013">
        <f t="shared" si="3"/>
        <v>0</v>
      </c>
      <c r="H54" s="989">
        <f t="shared" si="4"/>
        <v>0</v>
      </c>
      <c r="I54" s="1023">
        <f t="shared" si="5"/>
        <v>0</v>
      </c>
      <c r="J54" s="989">
        <f t="shared" si="6"/>
        <v>0</v>
      </c>
      <c r="K54" s="989">
        <v>0</v>
      </c>
      <c r="L54" s="989">
        <f t="shared" si="7"/>
        <v>0</v>
      </c>
      <c r="M54" s="989">
        <f t="shared" si="8"/>
        <v>0</v>
      </c>
      <c r="N54" s="981">
        <f>'Table 5C1A-Madison Prep'!N54</f>
        <v>6453</v>
      </c>
      <c r="O54" s="983">
        <f t="shared" si="9"/>
        <v>0</v>
      </c>
      <c r="P54" s="1029">
        <f t="shared" si="10"/>
        <v>0</v>
      </c>
      <c r="Q54" s="983">
        <f t="shared" si="11"/>
        <v>0</v>
      </c>
      <c r="R54" s="983">
        <v>0</v>
      </c>
      <c r="S54" s="983">
        <f t="shared" si="12"/>
        <v>0</v>
      </c>
      <c r="T54" s="983">
        <f t="shared" si="13"/>
        <v>0</v>
      </c>
      <c r="U54" s="984">
        <f t="shared" si="14"/>
        <v>0</v>
      </c>
      <c r="V54" s="984">
        <f t="shared" si="14"/>
        <v>0</v>
      </c>
    </row>
    <row r="55" spans="1:22">
      <c r="A55" s="960">
        <v>49</v>
      </c>
      <c r="B55" s="961" t="s">
        <v>140</v>
      </c>
      <c r="C55" s="1081">
        <v>0</v>
      </c>
      <c r="D55" s="966">
        <f>'Table 3 Levels 1&amp;2'!AL56</f>
        <v>4836.7092570332552</v>
      </c>
      <c r="E55" s="1013">
        <f t="shared" si="2"/>
        <v>0</v>
      </c>
      <c r="F55" s="1013">
        <f>'Table 4 Level 3'!P54</f>
        <v>574.43999999999994</v>
      </c>
      <c r="G55" s="1013">
        <f t="shared" si="3"/>
        <v>0</v>
      </c>
      <c r="H55" s="989">
        <f t="shared" si="4"/>
        <v>0</v>
      </c>
      <c r="I55" s="1023">
        <f t="shared" si="5"/>
        <v>0</v>
      </c>
      <c r="J55" s="989">
        <f t="shared" si="6"/>
        <v>0</v>
      </c>
      <c r="K55" s="989">
        <v>0</v>
      </c>
      <c r="L55" s="989">
        <f t="shared" si="7"/>
        <v>0</v>
      </c>
      <c r="M55" s="989">
        <f t="shared" si="8"/>
        <v>0</v>
      </c>
      <c r="N55" s="981">
        <f>'Table 5C1A-Madison Prep'!N55</f>
        <v>2287</v>
      </c>
      <c r="O55" s="983">
        <f t="shared" si="9"/>
        <v>0</v>
      </c>
      <c r="P55" s="1029">
        <f t="shared" si="10"/>
        <v>0</v>
      </c>
      <c r="Q55" s="983">
        <f t="shared" si="11"/>
        <v>0</v>
      </c>
      <c r="R55" s="983">
        <v>0</v>
      </c>
      <c r="S55" s="983">
        <f t="shared" si="12"/>
        <v>0</v>
      </c>
      <c r="T55" s="983">
        <f t="shared" si="13"/>
        <v>0</v>
      </c>
      <c r="U55" s="984">
        <f t="shared" si="14"/>
        <v>0</v>
      </c>
      <c r="V55" s="984">
        <f t="shared" si="14"/>
        <v>0</v>
      </c>
    </row>
    <row r="56" spans="1:22">
      <c r="A56" s="963">
        <v>50</v>
      </c>
      <c r="B56" s="964" t="s">
        <v>141</v>
      </c>
      <c r="C56" s="1082">
        <v>0</v>
      </c>
      <c r="D56" s="967">
        <f>'Table 3 Levels 1&amp;2'!AL57</f>
        <v>5032.6862895017111</v>
      </c>
      <c r="E56" s="1014">
        <f t="shared" si="2"/>
        <v>0</v>
      </c>
      <c r="F56" s="1014">
        <f>'Table 4 Level 3'!P55</f>
        <v>634.46</v>
      </c>
      <c r="G56" s="1014">
        <f t="shared" si="3"/>
        <v>0</v>
      </c>
      <c r="H56" s="990">
        <f t="shared" si="4"/>
        <v>0</v>
      </c>
      <c r="I56" s="1024">
        <f t="shared" si="5"/>
        <v>0</v>
      </c>
      <c r="J56" s="990">
        <f t="shared" si="6"/>
        <v>0</v>
      </c>
      <c r="K56" s="990">
        <v>0</v>
      </c>
      <c r="L56" s="990">
        <f t="shared" si="7"/>
        <v>0</v>
      </c>
      <c r="M56" s="990">
        <f t="shared" si="8"/>
        <v>0</v>
      </c>
      <c r="N56" s="986">
        <f>'Table 5C1A-Madison Prep'!N56</f>
        <v>2801</v>
      </c>
      <c r="O56" s="987">
        <f t="shared" si="9"/>
        <v>0</v>
      </c>
      <c r="P56" s="1030">
        <f t="shared" si="10"/>
        <v>0</v>
      </c>
      <c r="Q56" s="987">
        <f t="shared" si="11"/>
        <v>0</v>
      </c>
      <c r="R56" s="987">
        <v>0</v>
      </c>
      <c r="S56" s="987">
        <f t="shared" si="12"/>
        <v>0</v>
      </c>
      <c r="T56" s="987">
        <f t="shared" si="13"/>
        <v>0</v>
      </c>
      <c r="U56" s="988">
        <f t="shared" si="14"/>
        <v>0</v>
      </c>
      <c r="V56" s="988">
        <f t="shared" si="14"/>
        <v>0</v>
      </c>
    </row>
    <row r="57" spans="1:22">
      <c r="A57" s="953">
        <v>51</v>
      </c>
      <c r="B57" s="954" t="s">
        <v>142</v>
      </c>
      <c r="C57" s="1083">
        <v>0</v>
      </c>
      <c r="D57" s="968">
        <f>'Table 3 Levels 1&amp;2'!AL58</f>
        <v>4246.0339872793602</v>
      </c>
      <c r="E57" s="1015">
        <f t="shared" si="2"/>
        <v>0</v>
      </c>
      <c r="F57" s="1015">
        <f>'Table 4 Level 3'!P56</f>
        <v>706.66</v>
      </c>
      <c r="G57" s="1015">
        <f t="shared" si="3"/>
        <v>0</v>
      </c>
      <c r="H57" s="991">
        <f t="shared" si="4"/>
        <v>0</v>
      </c>
      <c r="I57" s="1025">
        <f t="shared" si="5"/>
        <v>0</v>
      </c>
      <c r="J57" s="991">
        <f t="shared" si="6"/>
        <v>0</v>
      </c>
      <c r="K57" s="991">
        <v>0</v>
      </c>
      <c r="L57" s="991">
        <f t="shared" si="7"/>
        <v>0</v>
      </c>
      <c r="M57" s="991">
        <f t="shared" si="8"/>
        <v>0</v>
      </c>
      <c r="N57" s="981">
        <f>'Table 5C1A-Madison Prep'!N57</f>
        <v>4215</v>
      </c>
      <c r="O57" s="958">
        <f t="shared" si="9"/>
        <v>0</v>
      </c>
      <c r="P57" s="1028">
        <f t="shared" si="10"/>
        <v>0</v>
      </c>
      <c r="Q57" s="958">
        <f t="shared" si="11"/>
        <v>0</v>
      </c>
      <c r="R57" s="958">
        <v>0</v>
      </c>
      <c r="S57" s="958">
        <f t="shared" si="12"/>
        <v>0</v>
      </c>
      <c r="T57" s="958">
        <f t="shared" si="13"/>
        <v>0</v>
      </c>
      <c r="U57" s="959">
        <f t="shared" si="14"/>
        <v>0</v>
      </c>
      <c r="V57" s="959">
        <f t="shared" si="14"/>
        <v>0</v>
      </c>
    </row>
    <row r="58" spans="1:22">
      <c r="A58" s="960">
        <v>52</v>
      </c>
      <c r="B58" s="961" t="s">
        <v>143</v>
      </c>
      <c r="C58" s="1081">
        <v>0</v>
      </c>
      <c r="D58" s="966">
        <f>'Table 3 Levels 1&amp;2'!AL59</f>
        <v>5013.4438050113249</v>
      </c>
      <c r="E58" s="1013">
        <f t="shared" si="2"/>
        <v>0</v>
      </c>
      <c r="F58" s="1013">
        <f>'Table 4 Level 3'!P57</f>
        <v>658.37</v>
      </c>
      <c r="G58" s="1013">
        <f t="shared" si="3"/>
        <v>0</v>
      </c>
      <c r="H58" s="989">
        <f t="shared" si="4"/>
        <v>0</v>
      </c>
      <c r="I58" s="1023">
        <f t="shared" si="5"/>
        <v>0</v>
      </c>
      <c r="J58" s="989">
        <f t="shared" si="6"/>
        <v>0</v>
      </c>
      <c r="K58" s="989">
        <v>0</v>
      </c>
      <c r="L58" s="989">
        <f t="shared" si="7"/>
        <v>0</v>
      </c>
      <c r="M58" s="989">
        <f t="shared" si="8"/>
        <v>0</v>
      </c>
      <c r="N58" s="981">
        <f>'Table 5C1A-Madison Prep'!N58</f>
        <v>4889</v>
      </c>
      <c r="O58" s="983">
        <f t="shared" si="9"/>
        <v>0</v>
      </c>
      <c r="P58" s="1029">
        <f t="shared" si="10"/>
        <v>0</v>
      </c>
      <c r="Q58" s="983">
        <f t="shared" si="11"/>
        <v>0</v>
      </c>
      <c r="R58" s="983">
        <v>0</v>
      </c>
      <c r="S58" s="983">
        <f t="shared" si="12"/>
        <v>0</v>
      </c>
      <c r="T58" s="983">
        <f t="shared" si="13"/>
        <v>0</v>
      </c>
      <c r="U58" s="984">
        <f t="shared" si="14"/>
        <v>0</v>
      </c>
      <c r="V58" s="984">
        <f t="shared" si="14"/>
        <v>0</v>
      </c>
    </row>
    <row r="59" spans="1:22">
      <c r="A59" s="960">
        <v>53</v>
      </c>
      <c r="B59" s="961" t="s">
        <v>144</v>
      </c>
      <c r="C59" s="1081">
        <v>0</v>
      </c>
      <c r="D59" s="966">
        <f>'Table 3 Levels 1&amp;2'!AL60</f>
        <v>4775.5877635581091</v>
      </c>
      <c r="E59" s="1013">
        <f t="shared" si="2"/>
        <v>0</v>
      </c>
      <c r="F59" s="1013">
        <f>'Table 4 Level 3'!P58</f>
        <v>689.74</v>
      </c>
      <c r="G59" s="1013">
        <f t="shared" si="3"/>
        <v>0</v>
      </c>
      <c r="H59" s="989">
        <f t="shared" si="4"/>
        <v>0</v>
      </c>
      <c r="I59" s="1023">
        <f t="shared" si="5"/>
        <v>0</v>
      </c>
      <c r="J59" s="989">
        <f t="shared" si="6"/>
        <v>0</v>
      </c>
      <c r="K59" s="989">
        <v>0</v>
      </c>
      <c r="L59" s="989">
        <f t="shared" si="7"/>
        <v>0</v>
      </c>
      <c r="M59" s="989">
        <f t="shared" si="8"/>
        <v>0</v>
      </c>
      <c r="N59" s="981">
        <f>'Table 5C1A-Madison Prep'!N59</f>
        <v>2119</v>
      </c>
      <c r="O59" s="983">
        <f t="shared" si="9"/>
        <v>0</v>
      </c>
      <c r="P59" s="1029">
        <f t="shared" si="10"/>
        <v>0</v>
      </c>
      <c r="Q59" s="983">
        <f t="shared" si="11"/>
        <v>0</v>
      </c>
      <c r="R59" s="983">
        <v>0</v>
      </c>
      <c r="S59" s="983">
        <f t="shared" si="12"/>
        <v>0</v>
      </c>
      <c r="T59" s="983">
        <f t="shared" si="13"/>
        <v>0</v>
      </c>
      <c r="U59" s="984">
        <f t="shared" si="14"/>
        <v>0</v>
      </c>
      <c r="V59" s="984">
        <f t="shared" si="14"/>
        <v>0</v>
      </c>
    </row>
    <row r="60" spans="1:22">
      <c r="A60" s="960">
        <v>54</v>
      </c>
      <c r="B60" s="961" t="s">
        <v>145</v>
      </c>
      <c r="C60" s="1081">
        <v>0</v>
      </c>
      <c r="D60" s="966">
        <f>'Table 3 Levels 1&amp;2'!AL61</f>
        <v>5951.8009386275662</v>
      </c>
      <c r="E60" s="1013">
        <f t="shared" si="2"/>
        <v>0</v>
      </c>
      <c r="F60" s="1013">
        <f>'Table 4 Level 3'!P59</f>
        <v>951.45</v>
      </c>
      <c r="G60" s="1013">
        <f t="shared" si="3"/>
        <v>0</v>
      </c>
      <c r="H60" s="989">
        <f t="shared" si="4"/>
        <v>0</v>
      </c>
      <c r="I60" s="1023">
        <f t="shared" si="5"/>
        <v>0</v>
      </c>
      <c r="J60" s="989">
        <f t="shared" si="6"/>
        <v>0</v>
      </c>
      <c r="K60" s="989">
        <v>0</v>
      </c>
      <c r="L60" s="989">
        <f t="shared" si="7"/>
        <v>0</v>
      </c>
      <c r="M60" s="989">
        <f t="shared" si="8"/>
        <v>0</v>
      </c>
      <c r="N60" s="981">
        <f>'Table 5C1A-Madison Prep'!N60</f>
        <v>3690</v>
      </c>
      <c r="O60" s="983">
        <f t="shared" si="9"/>
        <v>0</v>
      </c>
      <c r="P60" s="1029">
        <f t="shared" si="10"/>
        <v>0</v>
      </c>
      <c r="Q60" s="983">
        <f t="shared" si="11"/>
        <v>0</v>
      </c>
      <c r="R60" s="983">
        <v>0</v>
      </c>
      <c r="S60" s="983">
        <f t="shared" si="12"/>
        <v>0</v>
      </c>
      <c r="T60" s="983">
        <f t="shared" si="13"/>
        <v>0</v>
      </c>
      <c r="U60" s="984">
        <f t="shared" si="14"/>
        <v>0</v>
      </c>
      <c r="V60" s="984">
        <f t="shared" si="14"/>
        <v>0</v>
      </c>
    </row>
    <row r="61" spans="1:22">
      <c r="A61" s="963">
        <v>55</v>
      </c>
      <c r="B61" s="964" t="s">
        <v>146</v>
      </c>
      <c r="C61" s="1082">
        <v>0</v>
      </c>
      <c r="D61" s="967">
        <f>'Table 3 Levels 1&amp;2'!AL62</f>
        <v>4171.0434735233157</v>
      </c>
      <c r="E61" s="1014">
        <f t="shared" si="2"/>
        <v>0</v>
      </c>
      <c r="F61" s="1014">
        <f>'Table 4 Level 3'!P60</f>
        <v>795.14</v>
      </c>
      <c r="G61" s="1014">
        <f t="shared" si="3"/>
        <v>0</v>
      </c>
      <c r="H61" s="990">
        <f t="shared" si="4"/>
        <v>0</v>
      </c>
      <c r="I61" s="1024">
        <f t="shared" si="5"/>
        <v>0</v>
      </c>
      <c r="J61" s="990">
        <f t="shared" si="6"/>
        <v>0</v>
      </c>
      <c r="K61" s="990">
        <v>0</v>
      </c>
      <c r="L61" s="990">
        <f t="shared" si="7"/>
        <v>0</v>
      </c>
      <c r="M61" s="990">
        <f t="shared" si="8"/>
        <v>0</v>
      </c>
      <c r="N61" s="986">
        <f>'Table 5C1A-Madison Prep'!N61</f>
        <v>3157</v>
      </c>
      <c r="O61" s="987">
        <f t="shared" si="9"/>
        <v>0</v>
      </c>
      <c r="P61" s="1030">
        <f t="shared" si="10"/>
        <v>0</v>
      </c>
      <c r="Q61" s="987">
        <f t="shared" si="11"/>
        <v>0</v>
      </c>
      <c r="R61" s="987">
        <v>0</v>
      </c>
      <c r="S61" s="987">
        <f t="shared" si="12"/>
        <v>0</v>
      </c>
      <c r="T61" s="987">
        <f t="shared" si="13"/>
        <v>0</v>
      </c>
      <c r="U61" s="988">
        <f t="shared" si="14"/>
        <v>0</v>
      </c>
      <c r="V61" s="988">
        <f t="shared" si="14"/>
        <v>0</v>
      </c>
    </row>
    <row r="62" spans="1:22">
      <c r="A62" s="953">
        <v>56</v>
      </c>
      <c r="B62" s="954" t="s">
        <v>147</v>
      </c>
      <c r="C62" s="1083">
        <v>0</v>
      </c>
      <c r="D62" s="968">
        <f>'Table 3 Levels 1&amp;2'!AL63</f>
        <v>4968.593189672727</v>
      </c>
      <c r="E62" s="1015">
        <f t="shared" si="2"/>
        <v>0</v>
      </c>
      <c r="F62" s="1015">
        <f>'Table 4 Level 3'!P61</f>
        <v>614.66000000000008</v>
      </c>
      <c r="G62" s="1015">
        <f t="shared" si="3"/>
        <v>0</v>
      </c>
      <c r="H62" s="991">
        <f t="shared" si="4"/>
        <v>0</v>
      </c>
      <c r="I62" s="1025">
        <f t="shared" si="5"/>
        <v>0</v>
      </c>
      <c r="J62" s="991">
        <f t="shared" si="6"/>
        <v>0</v>
      </c>
      <c r="K62" s="991">
        <v>0</v>
      </c>
      <c r="L62" s="991">
        <f t="shared" si="7"/>
        <v>0</v>
      </c>
      <c r="M62" s="991">
        <f t="shared" si="8"/>
        <v>0</v>
      </c>
      <c r="N62" s="981">
        <f>'Table 5C1A-Madison Prep'!N62</f>
        <v>2779</v>
      </c>
      <c r="O62" s="958">
        <f t="shared" si="9"/>
        <v>0</v>
      </c>
      <c r="P62" s="1028">
        <f t="shared" si="10"/>
        <v>0</v>
      </c>
      <c r="Q62" s="958">
        <f t="shared" si="11"/>
        <v>0</v>
      </c>
      <c r="R62" s="958">
        <v>0</v>
      </c>
      <c r="S62" s="958">
        <f t="shared" si="12"/>
        <v>0</v>
      </c>
      <c r="T62" s="958">
        <f t="shared" si="13"/>
        <v>0</v>
      </c>
      <c r="U62" s="959">
        <f t="shared" si="14"/>
        <v>0</v>
      </c>
      <c r="V62" s="959">
        <f t="shared" si="14"/>
        <v>0</v>
      </c>
    </row>
    <row r="63" spans="1:22">
      <c r="A63" s="960">
        <v>57</v>
      </c>
      <c r="B63" s="961" t="s">
        <v>148</v>
      </c>
      <c r="C63" s="1081">
        <v>0</v>
      </c>
      <c r="D63" s="966">
        <f>'Table 3 Levels 1&amp;2'!AL64</f>
        <v>4485.7073020218859</v>
      </c>
      <c r="E63" s="1013">
        <f t="shared" si="2"/>
        <v>0</v>
      </c>
      <c r="F63" s="1013">
        <f>'Table 4 Level 3'!P62</f>
        <v>764.51</v>
      </c>
      <c r="G63" s="1013">
        <f t="shared" si="3"/>
        <v>0</v>
      </c>
      <c r="H63" s="989">
        <f t="shared" si="4"/>
        <v>0</v>
      </c>
      <c r="I63" s="1023">
        <f t="shared" si="5"/>
        <v>0</v>
      </c>
      <c r="J63" s="989">
        <f t="shared" si="6"/>
        <v>0</v>
      </c>
      <c r="K63" s="989">
        <v>0</v>
      </c>
      <c r="L63" s="989">
        <f t="shared" si="7"/>
        <v>0</v>
      </c>
      <c r="M63" s="989">
        <f t="shared" si="8"/>
        <v>0</v>
      </c>
      <c r="N63" s="981">
        <f>'Table 5C1A-Madison Prep'!N63</f>
        <v>3107</v>
      </c>
      <c r="O63" s="983">
        <f t="shared" si="9"/>
        <v>0</v>
      </c>
      <c r="P63" s="1029">
        <f t="shared" si="10"/>
        <v>0</v>
      </c>
      <c r="Q63" s="983">
        <f t="shared" si="11"/>
        <v>0</v>
      </c>
      <c r="R63" s="983">
        <v>0</v>
      </c>
      <c r="S63" s="983">
        <f t="shared" si="12"/>
        <v>0</v>
      </c>
      <c r="T63" s="983">
        <f t="shared" si="13"/>
        <v>0</v>
      </c>
      <c r="U63" s="984">
        <f t="shared" si="14"/>
        <v>0</v>
      </c>
      <c r="V63" s="984">
        <f t="shared" si="14"/>
        <v>0</v>
      </c>
    </row>
    <row r="64" spans="1:22">
      <c r="A64" s="960">
        <v>58</v>
      </c>
      <c r="B64" s="961" t="s">
        <v>149</v>
      </c>
      <c r="C64" s="1081">
        <v>0</v>
      </c>
      <c r="D64" s="966">
        <f>'Table 3 Levels 1&amp;2'!AL65</f>
        <v>5457.8662803476354</v>
      </c>
      <c r="E64" s="1013">
        <f t="shared" si="2"/>
        <v>0</v>
      </c>
      <c r="F64" s="1013">
        <f>'Table 4 Level 3'!P63</f>
        <v>697.04</v>
      </c>
      <c r="G64" s="1013">
        <f t="shared" si="3"/>
        <v>0</v>
      </c>
      <c r="H64" s="989">
        <f t="shared" si="4"/>
        <v>0</v>
      </c>
      <c r="I64" s="1023">
        <f t="shared" si="5"/>
        <v>0</v>
      </c>
      <c r="J64" s="989">
        <f t="shared" si="6"/>
        <v>0</v>
      </c>
      <c r="K64" s="989">
        <v>0</v>
      </c>
      <c r="L64" s="989">
        <f t="shared" si="7"/>
        <v>0</v>
      </c>
      <c r="M64" s="989">
        <f t="shared" si="8"/>
        <v>0</v>
      </c>
      <c r="N64" s="981">
        <f>'Table 5C1A-Madison Prep'!N64</f>
        <v>2105</v>
      </c>
      <c r="O64" s="983">
        <f t="shared" si="9"/>
        <v>0</v>
      </c>
      <c r="P64" s="1029">
        <f t="shared" si="10"/>
        <v>0</v>
      </c>
      <c r="Q64" s="983">
        <f t="shared" si="11"/>
        <v>0</v>
      </c>
      <c r="R64" s="983">
        <v>0</v>
      </c>
      <c r="S64" s="983">
        <f t="shared" si="12"/>
        <v>0</v>
      </c>
      <c r="T64" s="983">
        <f t="shared" si="13"/>
        <v>0</v>
      </c>
      <c r="U64" s="984">
        <f t="shared" si="14"/>
        <v>0</v>
      </c>
      <c r="V64" s="984">
        <f t="shared" si="14"/>
        <v>0</v>
      </c>
    </row>
    <row r="65" spans="1:22">
      <c r="A65" s="960">
        <v>59</v>
      </c>
      <c r="B65" s="961" t="s">
        <v>150</v>
      </c>
      <c r="C65" s="1081">
        <v>0</v>
      </c>
      <c r="D65" s="966">
        <f>'Table 3 Levels 1&amp;2'!AL66</f>
        <v>6274.2786338006481</v>
      </c>
      <c r="E65" s="1013">
        <f t="shared" si="2"/>
        <v>0</v>
      </c>
      <c r="F65" s="1013">
        <f>'Table 4 Level 3'!P64</f>
        <v>689.52</v>
      </c>
      <c r="G65" s="1013">
        <f t="shared" si="3"/>
        <v>0</v>
      </c>
      <c r="H65" s="989">
        <f t="shared" si="4"/>
        <v>0</v>
      </c>
      <c r="I65" s="1023">
        <f t="shared" si="5"/>
        <v>0</v>
      </c>
      <c r="J65" s="989">
        <f t="shared" si="6"/>
        <v>0</v>
      </c>
      <c r="K65" s="989">
        <v>0</v>
      </c>
      <c r="L65" s="989">
        <f t="shared" si="7"/>
        <v>0</v>
      </c>
      <c r="M65" s="989">
        <f t="shared" si="8"/>
        <v>0</v>
      </c>
      <c r="N65" s="981">
        <f>'Table 5C1A-Madison Prep'!N65</f>
        <v>1510</v>
      </c>
      <c r="O65" s="983">
        <f t="shared" si="9"/>
        <v>0</v>
      </c>
      <c r="P65" s="1029">
        <f t="shared" si="10"/>
        <v>0</v>
      </c>
      <c r="Q65" s="983">
        <f t="shared" si="11"/>
        <v>0</v>
      </c>
      <c r="R65" s="983">
        <v>0</v>
      </c>
      <c r="S65" s="983">
        <f t="shared" si="12"/>
        <v>0</v>
      </c>
      <c r="T65" s="983">
        <f t="shared" si="13"/>
        <v>0</v>
      </c>
      <c r="U65" s="984">
        <f t="shared" si="14"/>
        <v>0</v>
      </c>
      <c r="V65" s="984">
        <f t="shared" si="14"/>
        <v>0</v>
      </c>
    </row>
    <row r="66" spans="1:22">
      <c r="A66" s="963">
        <v>60</v>
      </c>
      <c r="B66" s="964" t="s">
        <v>151</v>
      </c>
      <c r="C66" s="1082">
        <v>0</v>
      </c>
      <c r="D66" s="967">
        <f>'Table 3 Levels 1&amp;2'!AL67</f>
        <v>4940.9166775610411</v>
      </c>
      <c r="E66" s="1014">
        <f t="shared" si="2"/>
        <v>0</v>
      </c>
      <c r="F66" s="1014">
        <f>'Table 4 Level 3'!P65</f>
        <v>594.04</v>
      </c>
      <c r="G66" s="1014">
        <f t="shared" si="3"/>
        <v>0</v>
      </c>
      <c r="H66" s="990">
        <f t="shared" si="4"/>
        <v>0</v>
      </c>
      <c r="I66" s="1024">
        <f t="shared" si="5"/>
        <v>0</v>
      </c>
      <c r="J66" s="990">
        <f t="shared" si="6"/>
        <v>0</v>
      </c>
      <c r="K66" s="990">
        <v>0</v>
      </c>
      <c r="L66" s="990">
        <f t="shared" si="7"/>
        <v>0</v>
      </c>
      <c r="M66" s="990">
        <f t="shared" si="8"/>
        <v>0</v>
      </c>
      <c r="N66" s="986">
        <f>'Table 5C1A-Madison Prep'!N66</f>
        <v>3793</v>
      </c>
      <c r="O66" s="987">
        <f t="shared" si="9"/>
        <v>0</v>
      </c>
      <c r="P66" s="1030">
        <f t="shared" si="10"/>
        <v>0</v>
      </c>
      <c r="Q66" s="987">
        <f t="shared" si="11"/>
        <v>0</v>
      </c>
      <c r="R66" s="987">
        <v>0</v>
      </c>
      <c r="S66" s="987">
        <f t="shared" si="12"/>
        <v>0</v>
      </c>
      <c r="T66" s="987">
        <f t="shared" si="13"/>
        <v>0</v>
      </c>
      <c r="U66" s="988">
        <f t="shared" si="14"/>
        <v>0</v>
      </c>
      <c r="V66" s="988">
        <f t="shared" si="14"/>
        <v>0</v>
      </c>
    </row>
    <row r="67" spans="1:22">
      <c r="A67" s="953">
        <v>61</v>
      </c>
      <c r="B67" s="954" t="s">
        <v>152</v>
      </c>
      <c r="C67" s="1083">
        <v>0</v>
      </c>
      <c r="D67" s="968">
        <f>'Table 3 Levels 1&amp;2'!AL68</f>
        <v>2908.0344869339228</v>
      </c>
      <c r="E67" s="1015">
        <f t="shared" si="2"/>
        <v>0</v>
      </c>
      <c r="F67" s="1015">
        <f>'Table 4 Level 3'!P66</f>
        <v>833.70999999999992</v>
      </c>
      <c r="G67" s="1015">
        <f t="shared" si="3"/>
        <v>0</v>
      </c>
      <c r="H67" s="991">
        <f t="shared" si="4"/>
        <v>0</v>
      </c>
      <c r="I67" s="1025">
        <f t="shared" si="5"/>
        <v>0</v>
      </c>
      <c r="J67" s="991">
        <f t="shared" si="6"/>
        <v>0</v>
      </c>
      <c r="K67" s="991">
        <v>0</v>
      </c>
      <c r="L67" s="991">
        <f t="shared" si="7"/>
        <v>0</v>
      </c>
      <c r="M67" s="991">
        <f t="shared" si="8"/>
        <v>0</v>
      </c>
      <c r="N67" s="981">
        <f>'Table 5C1A-Madison Prep'!N67</f>
        <v>6570</v>
      </c>
      <c r="O67" s="958">
        <f t="shared" si="9"/>
        <v>0</v>
      </c>
      <c r="P67" s="1028">
        <f t="shared" si="10"/>
        <v>0</v>
      </c>
      <c r="Q67" s="958">
        <f t="shared" si="11"/>
        <v>0</v>
      </c>
      <c r="R67" s="958">
        <v>0</v>
      </c>
      <c r="S67" s="958">
        <f t="shared" si="12"/>
        <v>0</v>
      </c>
      <c r="T67" s="958">
        <f t="shared" si="13"/>
        <v>0</v>
      </c>
      <c r="U67" s="959">
        <f t="shared" si="14"/>
        <v>0</v>
      </c>
      <c r="V67" s="959">
        <f t="shared" si="14"/>
        <v>0</v>
      </c>
    </row>
    <row r="68" spans="1:22">
      <c r="A68" s="960">
        <v>62</v>
      </c>
      <c r="B68" s="961" t="s">
        <v>153</v>
      </c>
      <c r="C68" s="1081">
        <v>0</v>
      </c>
      <c r="D68" s="966">
        <f>'Table 3 Levels 1&amp;2'!AL69</f>
        <v>5652.1730736722093</v>
      </c>
      <c r="E68" s="1013">
        <f t="shared" si="2"/>
        <v>0</v>
      </c>
      <c r="F68" s="1013">
        <f>'Table 4 Level 3'!P67</f>
        <v>516.08000000000004</v>
      </c>
      <c r="G68" s="1013">
        <f t="shared" si="3"/>
        <v>0</v>
      </c>
      <c r="H68" s="989">
        <f t="shared" si="4"/>
        <v>0</v>
      </c>
      <c r="I68" s="1023">
        <f t="shared" si="5"/>
        <v>0</v>
      </c>
      <c r="J68" s="989">
        <f t="shared" si="6"/>
        <v>0</v>
      </c>
      <c r="K68" s="989">
        <v>0</v>
      </c>
      <c r="L68" s="989">
        <f t="shared" si="7"/>
        <v>0</v>
      </c>
      <c r="M68" s="989">
        <f t="shared" si="8"/>
        <v>0</v>
      </c>
      <c r="N68" s="981">
        <f>'Table 5C1A-Madison Prep'!N68</f>
        <v>1934</v>
      </c>
      <c r="O68" s="983">
        <f t="shared" si="9"/>
        <v>0</v>
      </c>
      <c r="P68" s="1029">
        <f t="shared" si="10"/>
        <v>0</v>
      </c>
      <c r="Q68" s="983">
        <f t="shared" si="11"/>
        <v>0</v>
      </c>
      <c r="R68" s="983">
        <v>0</v>
      </c>
      <c r="S68" s="983">
        <f t="shared" si="12"/>
        <v>0</v>
      </c>
      <c r="T68" s="983">
        <f t="shared" si="13"/>
        <v>0</v>
      </c>
      <c r="U68" s="984">
        <f t="shared" si="14"/>
        <v>0</v>
      </c>
      <c r="V68" s="984">
        <f t="shared" si="14"/>
        <v>0</v>
      </c>
    </row>
    <row r="69" spans="1:22">
      <c r="A69" s="960">
        <v>63</v>
      </c>
      <c r="B69" s="961" t="s">
        <v>154</v>
      </c>
      <c r="C69" s="1081">
        <v>0</v>
      </c>
      <c r="D69" s="966">
        <f>'Table 3 Levels 1&amp;2'!AL70</f>
        <v>4362.300753810403</v>
      </c>
      <c r="E69" s="1013">
        <f t="shared" si="2"/>
        <v>0</v>
      </c>
      <c r="F69" s="1013">
        <f>'Table 4 Level 3'!P68</f>
        <v>756.79</v>
      </c>
      <c r="G69" s="1013">
        <f t="shared" si="3"/>
        <v>0</v>
      </c>
      <c r="H69" s="989">
        <f t="shared" si="4"/>
        <v>0</v>
      </c>
      <c r="I69" s="1023">
        <f t="shared" si="5"/>
        <v>0</v>
      </c>
      <c r="J69" s="989">
        <f t="shared" si="6"/>
        <v>0</v>
      </c>
      <c r="K69" s="989">
        <v>0</v>
      </c>
      <c r="L69" s="989">
        <f t="shared" si="7"/>
        <v>0</v>
      </c>
      <c r="M69" s="989">
        <f t="shared" si="8"/>
        <v>0</v>
      </c>
      <c r="N69" s="981">
        <f>'Table 5C1A-Madison Prep'!N69</f>
        <v>6787</v>
      </c>
      <c r="O69" s="983">
        <f t="shared" si="9"/>
        <v>0</v>
      </c>
      <c r="P69" s="1029">
        <f t="shared" si="10"/>
        <v>0</v>
      </c>
      <c r="Q69" s="983">
        <f t="shared" si="11"/>
        <v>0</v>
      </c>
      <c r="R69" s="983">
        <v>0</v>
      </c>
      <c r="S69" s="983">
        <f t="shared" si="12"/>
        <v>0</v>
      </c>
      <c r="T69" s="983">
        <f t="shared" si="13"/>
        <v>0</v>
      </c>
      <c r="U69" s="984">
        <f t="shared" si="14"/>
        <v>0</v>
      </c>
      <c r="V69" s="984">
        <f t="shared" si="14"/>
        <v>0</v>
      </c>
    </row>
    <row r="70" spans="1:22">
      <c r="A70" s="960">
        <v>64</v>
      </c>
      <c r="B70" s="961" t="s">
        <v>155</v>
      </c>
      <c r="C70" s="1081">
        <v>0</v>
      </c>
      <c r="D70" s="966">
        <f>'Table 3 Levels 1&amp;2'!AL71</f>
        <v>5960.2049072003338</v>
      </c>
      <c r="E70" s="1013">
        <f t="shared" si="2"/>
        <v>0</v>
      </c>
      <c r="F70" s="1013">
        <f>'Table 4 Level 3'!P69</f>
        <v>592.66</v>
      </c>
      <c r="G70" s="1013">
        <f t="shared" si="3"/>
        <v>0</v>
      </c>
      <c r="H70" s="989">
        <f t="shared" si="4"/>
        <v>0</v>
      </c>
      <c r="I70" s="1023">
        <f t="shared" si="5"/>
        <v>0</v>
      </c>
      <c r="J70" s="989">
        <f t="shared" si="6"/>
        <v>0</v>
      </c>
      <c r="K70" s="989">
        <v>0</v>
      </c>
      <c r="L70" s="989">
        <f t="shared" si="7"/>
        <v>0</v>
      </c>
      <c r="M70" s="989">
        <f t="shared" si="8"/>
        <v>0</v>
      </c>
      <c r="N70" s="981">
        <f>'Table 5C1A-Madison Prep'!N70</f>
        <v>2901</v>
      </c>
      <c r="O70" s="983">
        <f t="shared" si="9"/>
        <v>0</v>
      </c>
      <c r="P70" s="1029">
        <f t="shared" si="10"/>
        <v>0</v>
      </c>
      <c r="Q70" s="983">
        <f t="shared" si="11"/>
        <v>0</v>
      </c>
      <c r="R70" s="983">
        <v>0</v>
      </c>
      <c r="S70" s="983">
        <f t="shared" si="12"/>
        <v>0</v>
      </c>
      <c r="T70" s="983">
        <f t="shared" si="13"/>
        <v>0</v>
      </c>
      <c r="U70" s="984">
        <f t="shared" si="14"/>
        <v>0</v>
      </c>
      <c r="V70" s="984">
        <f t="shared" si="14"/>
        <v>0</v>
      </c>
    </row>
    <row r="71" spans="1:22">
      <c r="A71" s="963">
        <v>65</v>
      </c>
      <c r="B71" s="964" t="s">
        <v>156</v>
      </c>
      <c r="C71" s="1082">
        <v>0</v>
      </c>
      <c r="D71" s="967">
        <f>'Table 3 Levels 1&amp;2'!AL72</f>
        <v>4579.2772303106676</v>
      </c>
      <c r="E71" s="1014">
        <f t="shared" si="2"/>
        <v>0</v>
      </c>
      <c r="F71" s="1014">
        <f>'Table 4 Level 3'!P70</f>
        <v>829.12</v>
      </c>
      <c r="G71" s="1014">
        <f t="shared" si="3"/>
        <v>0</v>
      </c>
      <c r="H71" s="990">
        <f t="shared" si="4"/>
        <v>0</v>
      </c>
      <c r="I71" s="1024">
        <f t="shared" si="5"/>
        <v>0</v>
      </c>
      <c r="J71" s="990">
        <f t="shared" si="6"/>
        <v>0</v>
      </c>
      <c r="K71" s="990">
        <v>0</v>
      </c>
      <c r="L71" s="990">
        <f t="shared" si="7"/>
        <v>0</v>
      </c>
      <c r="M71" s="990">
        <f t="shared" si="8"/>
        <v>0</v>
      </c>
      <c r="N71" s="986">
        <f>'Table 5C1A-Madison Prep'!N71</f>
        <v>5001</v>
      </c>
      <c r="O71" s="987">
        <f t="shared" si="9"/>
        <v>0</v>
      </c>
      <c r="P71" s="1030">
        <f t="shared" si="10"/>
        <v>0</v>
      </c>
      <c r="Q71" s="987">
        <f t="shared" si="11"/>
        <v>0</v>
      </c>
      <c r="R71" s="987">
        <v>0</v>
      </c>
      <c r="S71" s="987">
        <f t="shared" si="12"/>
        <v>0</v>
      </c>
      <c r="T71" s="987">
        <f t="shared" si="13"/>
        <v>0</v>
      </c>
      <c r="U71" s="988">
        <f t="shared" si="14"/>
        <v>0</v>
      </c>
      <c r="V71" s="988">
        <f t="shared" si="14"/>
        <v>0</v>
      </c>
    </row>
    <row r="72" spans="1:22">
      <c r="A72" s="953">
        <v>66</v>
      </c>
      <c r="B72" s="954" t="s">
        <v>157</v>
      </c>
      <c r="C72" s="1083">
        <v>0</v>
      </c>
      <c r="D72" s="968">
        <f>'Table 3 Levels 1&amp;2'!AL73</f>
        <v>6370.8108195713585</v>
      </c>
      <c r="E72" s="1015">
        <f t="shared" ref="E72:E75" si="15">C72*D72</f>
        <v>0</v>
      </c>
      <c r="F72" s="1015">
        <f>'Table 4 Level 3'!P71</f>
        <v>730.06</v>
      </c>
      <c r="G72" s="1015">
        <f t="shared" ref="G72:G75" si="16">C72*F72</f>
        <v>0</v>
      </c>
      <c r="H72" s="991">
        <f t="shared" ref="H72:H75" si="17">E72+G72</f>
        <v>0</v>
      </c>
      <c r="I72" s="1025">
        <f t="shared" ref="I72:I75" si="18">-(0.25%*H72)</f>
        <v>0</v>
      </c>
      <c r="J72" s="991">
        <f t="shared" ref="J72:J75" si="19">SUM(H72:I72)</f>
        <v>0</v>
      </c>
      <c r="K72" s="991">
        <v>0</v>
      </c>
      <c r="L72" s="991">
        <f t="shared" ref="L72:L75" si="20">SUM(J72:K72)</f>
        <v>0</v>
      </c>
      <c r="M72" s="991">
        <f t="shared" ref="M72:M75" si="21">L72/12</f>
        <v>0</v>
      </c>
      <c r="N72" s="981">
        <f>'Table 5C1A-Madison Prep'!N72</f>
        <v>3415</v>
      </c>
      <c r="O72" s="958">
        <f t="shared" ref="O72:O75" si="22">C72*N72</f>
        <v>0</v>
      </c>
      <c r="P72" s="1028">
        <f t="shared" ref="P72:P75" si="23">-(0.25%*O72)</f>
        <v>0</v>
      </c>
      <c r="Q72" s="958">
        <f t="shared" ref="Q72:Q75" si="24">SUM(O72:P72)</f>
        <v>0</v>
      </c>
      <c r="R72" s="958">
        <v>0</v>
      </c>
      <c r="S72" s="958">
        <f t="shared" ref="S72:S75" si="25">SUM(Q72:R72)</f>
        <v>0</v>
      </c>
      <c r="T72" s="958">
        <f t="shared" ref="T72:T75" si="26">S72/12</f>
        <v>0</v>
      </c>
      <c r="U72" s="959">
        <f t="shared" ref="U72:V75" si="27">L72+S72</f>
        <v>0</v>
      </c>
      <c r="V72" s="959">
        <f t="shared" si="27"/>
        <v>0</v>
      </c>
    </row>
    <row r="73" spans="1:22">
      <c r="A73" s="960">
        <v>67</v>
      </c>
      <c r="B73" s="961" t="s">
        <v>32</v>
      </c>
      <c r="C73" s="1081">
        <v>0</v>
      </c>
      <c r="D73" s="966">
        <f>'Table 3 Levels 1&amp;2'!AL74</f>
        <v>4951.6009932106244</v>
      </c>
      <c r="E73" s="1013">
        <f t="shared" si="15"/>
        <v>0</v>
      </c>
      <c r="F73" s="1013">
        <f>'Table 4 Level 3'!P72</f>
        <v>715.61</v>
      </c>
      <c r="G73" s="1013">
        <f t="shared" si="16"/>
        <v>0</v>
      </c>
      <c r="H73" s="989">
        <f t="shared" si="17"/>
        <v>0</v>
      </c>
      <c r="I73" s="1023">
        <f t="shared" si="18"/>
        <v>0</v>
      </c>
      <c r="J73" s="989">
        <f t="shared" si="19"/>
        <v>0</v>
      </c>
      <c r="K73" s="989">
        <v>0</v>
      </c>
      <c r="L73" s="989">
        <f t="shared" si="20"/>
        <v>0</v>
      </c>
      <c r="M73" s="989">
        <f t="shared" si="21"/>
        <v>0</v>
      </c>
      <c r="N73" s="981">
        <f>'Table 5C1A-Madison Prep'!N73</f>
        <v>5221</v>
      </c>
      <c r="O73" s="983">
        <f t="shared" si="22"/>
        <v>0</v>
      </c>
      <c r="P73" s="1029">
        <f t="shared" si="23"/>
        <v>0</v>
      </c>
      <c r="Q73" s="983">
        <f t="shared" si="24"/>
        <v>0</v>
      </c>
      <c r="R73" s="983">
        <v>0</v>
      </c>
      <c r="S73" s="983">
        <f t="shared" si="25"/>
        <v>0</v>
      </c>
      <c r="T73" s="983">
        <f t="shared" si="26"/>
        <v>0</v>
      </c>
      <c r="U73" s="984">
        <f t="shared" si="27"/>
        <v>0</v>
      </c>
      <c r="V73" s="984">
        <f t="shared" si="27"/>
        <v>0</v>
      </c>
    </row>
    <row r="74" spans="1:22">
      <c r="A74" s="960">
        <v>68</v>
      </c>
      <c r="B74" s="961" t="s">
        <v>30</v>
      </c>
      <c r="C74" s="1081">
        <v>0</v>
      </c>
      <c r="D74" s="966">
        <f>'Table 3 Levels 1&amp;2'!AL75</f>
        <v>6077.2398733698947</v>
      </c>
      <c r="E74" s="1013">
        <f t="shared" si="15"/>
        <v>0</v>
      </c>
      <c r="F74" s="1013">
        <f>'Table 4 Level 3'!P73</f>
        <v>798.7</v>
      </c>
      <c r="G74" s="1013">
        <f t="shared" si="16"/>
        <v>0</v>
      </c>
      <c r="H74" s="989">
        <f t="shared" si="17"/>
        <v>0</v>
      </c>
      <c r="I74" s="1023">
        <f t="shared" si="18"/>
        <v>0</v>
      </c>
      <c r="J74" s="989">
        <f t="shared" si="19"/>
        <v>0</v>
      </c>
      <c r="K74" s="989">
        <v>0</v>
      </c>
      <c r="L74" s="989">
        <f t="shared" si="20"/>
        <v>0</v>
      </c>
      <c r="M74" s="989">
        <f t="shared" si="21"/>
        <v>0</v>
      </c>
      <c r="N74" s="981">
        <f>'Table 5C1A-Madison Prep'!N74</f>
        <v>2680</v>
      </c>
      <c r="O74" s="983">
        <f t="shared" si="22"/>
        <v>0</v>
      </c>
      <c r="P74" s="1029">
        <f t="shared" si="23"/>
        <v>0</v>
      </c>
      <c r="Q74" s="983">
        <f t="shared" si="24"/>
        <v>0</v>
      </c>
      <c r="R74" s="983">
        <v>0</v>
      </c>
      <c r="S74" s="983">
        <f t="shared" si="25"/>
        <v>0</v>
      </c>
      <c r="T74" s="983">
        <f t="shared" si="26"/>
        <v>0</v>
      </c>
      <c r="U74" s="984">
        <f t="shared" si="27"/>
        <v>0</v>
      </c>
      <c r="V74" s="984">
        <f t="shared" si="27"/>
        <v>0</v>
      </c>
    </row>
    <row r="75" spans="1:22">
      <c r="A75" s="969">
        <v>69</v>
      </c>
      <c r="B75" s="970" t="s">
        <v>208</v>
      </c>
      <c r="C75" s="1084">
        <v>0</v>
      </c>
      <c r="D75" s="971">
        <f>'Table 3 Levels 1&amp;2'!AL76</f>
        <v>5585.8253106686579</v>
      </c>
      <c r="E75" s="1016">
        <f t="shared" si="15"/>
        <v>0</v>
      </c>
      <c r="F75" s="1016">
        <f>'Table 4 Level 3'!P74</f>
        <v>705.67</v>
      </c>
      <c r="G75" s="1016">
        <f t="shared" si="16"/>
        <v>0</v>
      </c>
      <c r="H75" s="992">
        <f t="shared" si="17"/>
        <v>0</v>
      </c>
      <c r="I75" s="1026">
        <f t="shared" si="18"/>
        <v>0</v>
      </c>
      <c r="J75" s="992">
        <f t="shared" si="19"/>
        <v>0</v>
      </c>
      <c r="K75" s="992">
        <v>0</v>
      </c>
      <c r="L75" s="992">
        <f t="shared" si="20"/>
        <v>0</v>
      </c>
      <c r="M75" s="992">
        <f t="shared" si="21"/>
        <v>0</v>
      </c>
      <c r="N75" s="981">
        <f>'Table 5C1A-Madison Prep'!N75</f>
        <v>3263</v>
      </c>
      <c r="O75" s="993">
        <f t="shared" si="22"/>
        <v>0</v>
      </c>
      <c r="P75" s="1031">
        <f t="shared" si="23"/>
        <v>0</v>
      </c>
      <c r="Q75" s="993">
        <f t="shared" si="24"/>
        <v>0</v>
      </c>
      <c r="R75" s="993">
        <v>0</v>
      </c>
      <c r="S75" s="993">
        <f t="shared" si="25"/>
        <v>0</v>
      </c>
      <c r="T75" s="993">
        <f t="shared" si="26"/>
        <v>0</v>
      </c>
      <c r="U75" s="994">
        <f t="shared" si="27"/>
        <v>0</v>
      </c>
      <c r="V75" s="994">
        <f t="shared" si="27"/>
        <v>0</v>
      </c>
    </row>
    <row r="76" spans="1:22" ht="13.5" thickBot="1">
      <c r="A76" s="972"/>
      <c r="B76" s="973" t="s">
        <v>158</v>
      </c>
      <c r="C76" s="974">
        <f>SUM(C7:C75)</f>
        <v>232</v>
      </c>
      <c r="D76" s="975"/>
      <c r="E76" s="1017">
        <f>SUM(E7:E75)</f>
        <v>1236454.3060552143</v>
      </c>
      <c r="F76" s="1017">
        <f>'[17]Table 4 Level 3'!P75</f>
        <v>703.90028204588873</v>
      </c>
      <c r="G76" s="1017">
        <f t="shared" ref="G76:L76" si="28">SUM(G7:G75)</f>
        <v>152031.92000000001</v>
      </c>
      <c r="H76" s="976">
        <f t="shared" si="28"/>
        <v>1388486.2260552142</v>
      </c>
      <c r="I76" s="1027">
        <f t="shared" si="28"/>
        <v>-3471.2155651380353</v>
      </c>
      <c r="J76" s="976">
        <f t="shared" si="28"/>
        <v>1385015.0104900762</v>
      </c>
      <c r="K76" s="976">
        <f t="shared" si="28"/>
        <v>0</v>
      </c>
      <c r="L76" s="976">
        <f t="shared" si="28"/>
        <v>1385015.0104900762</v>
      </c>
      <c r="M76" s="976">
        <f>SUM(M7:M75)</f>
        <v>115417.91754083968</v>
      </c>
      <c r="N76" s="995">
        <f>'Table 5C1A-Madison Prep'!N76</f>
        <v>4503</v>
      </c>
      <c r="O76" s="977">
        <f t="shared" ref="O76:V76" si="29">SUM(O7:O75)</f>
        <v>614568</v>
      </c>
      <c r="P76" s="1032">
        <f t="shared" si="29"/>
        <v>-1536.42</v>
      </c>
      <c r="Q76" s="977">
        <f t="shared" si="29"/>
        <v>613031.57999999996</v>
      </c>
      <c r="R76" s="977">
        <f t="shared" si="29"/>
        <v>0</v>
      </c>
      <c r="S76" s="977">
        <f t="shared" si="29"/>
        <v>613031.57999999996</v>
      </c>
      <c r="T76" s="977">
        <f t="shared" si="29"/>
        <v>51085.964999999997</v>
      </c>
      <c r="U76" s="978">
        <f t="shared" si="29"/>
        <v>1998046.5904900762</v>
      </c>
      <c r="V76" s="978">
        <f t="shared" si="29"/>
        <v>166503.88254083967</v>
      </c>
    </row>
    <row r="77" spans="1:22" ht="13.5" thickTop="1"/>
  </sheetData>
  <mergeCells count="19">
    <mergeCell ref="U2:U4"/>
    <mergeCell ref="V2:V4"/>
    <mergeCell ref="C3:C4"/>
    <mergeCell ref="D3:D4"/>
    <mergeCell ref="E3:E4"/>
    <mergeCell ref="F3:F4"/>
    <mergeCell ref="G3:G4"/>
    <mergeCell ref="Q3:Q4"/>
    <mergeCell ref="R3:R4"/>
    <mergeCell ref="S3:S4"/>
    <mergeCell ref="H3:H4"/>
    <mergeCell ref="J3:J4"/>
    <mergeCell ref="K3:K4"/>
    <mergeCell ref="L3:L4"/>
    <mergeCell ref="M3:M4"/>
    <mergeCell ref="N3:N4"/>
    <mergeCell ref="A2:B4"/>
    <mergeCell ref="C2:M2"/>
    <mergeCell ref="N2:T2"/>
  </mergeCells>
  <pageMargins left="0.34" right="0.46" top="0.75" bottom="0.75" header="0.3" footer="0.3"/>
  <pageSetup paperSize="5" scale="60" firstPageNumber="64" orientation="portrait" useFirstPageNumber="1" r:id="rId1"/>
  <headerFooter>
    <oddHeader>&amp;L&amp;"Arial,Bold"&amp;20Table 5C1-K: FY2013-14 MFP Budget Letter 
Tallulah Charter School</oddHeader>
    <oddFooter>&amp;R&amp;P</oddFooter>
  </headerFooter>
  <colBreaks count="1" manualBreakCount="1">
    <brk id="13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view="pageBreakPreview" zoomScale="90" zoomScaleNormal="100" zoomScaleSheetLayoutView="90" workbookViewId="0">
      <pane xSplit="2" ySplit="6" topLeftCell="K7" activePane="bottomRight" state="frozen"/>
      <selection activeCell="B1" sqref="B1:B2"/>
      <selection pane="topRight" activeCell="B1" sqref="B1:B2"/>
      <selection pane="bottomLeft" activeCell="B1" sqref="B1:B2"/>
      <selection pane="bottomRight" activeCell="N8" sqref="N8:N76"/>
    </sheetView>
  </sheetViews>
  <sheetFormatPr defaultRowHeight="12.75"/>
  <cols>
    <col min="1" max="1" width="4.28515625" style="1077" customWidth="1"/>
    <col min="2" max="2" width="17.85546875" style="1077" bestFit="1" customWidth="1"/>
    <col min="3" max="3" width="12.7109375" style="1077" customWidth="1"/>
    <col min="4" max="4" width="17" style="1077" customWidth="1"/>
    <col min="5" max="5" width="11" style="1077" bestFit="1" customWidth="1"/>
    <col min="6" max="6" width="12" style="1077" customWidth="1"/>
    <col min="7" max="7" width="13.28515625" style="1077" customWidth="1"/>
    <col min="8" max="8" width="14.5703125" style="1077" customWidth="1"/>
    <col min="9" max="9" width="12.28515625" style="1077" customWidth="1"/>
    <col min="10" max="10" width="12" style="1077" bestFit="1" customWidth="1"/>
    <col min="11" max="11" width="13.42578125" style="1077" bestFit="1" customWidth="1"/>
    <col min="12" max="12" width="14" style="1077" customWidth="1"/>
    <col min="13" max="13" width="9.28515625" style="1077" bestFit="1" customWidth="1"/>
    <col min="14" max="14" width="17.28515625" style="1077" customWidth="1"/>
    <col min="15" max="15" width="16.7109375" style="1077" customWidth="1"/>
    <col min="16" max="16" width="13.7109375" style="1077" customWidth="1"/>
    <col min="17" max="17" width="17" style="1077" customWidth="1"/>
    <col min="18" max="18" width="15.28515625" style="1077" customWidth="1"/>
    <col min="19" max="19" width="13.140625" style="1077" customWidth="1"/>
    <col min="20" max="20" width="12" style="1077" customWidth="1"/>
    <col min="21" max="21" width="11" style="1077" customWidth="1"/>
    <col min="22" max="22" width="12.140625" style="1077" customWidth="1"/>
    <col min="23" max="16384" width="9.140625" style="1077"/>
  </cols>
  <sheetData>
    <row r="1" spans="1:22">
      <c r="C1" s="1238"/>
      <c r="D1" s="1238"/>
      <c r="E1" s="1238"/>
      <c r="F1" s="1238"/>
      <c r="G1" s="1238"/>
      <c r="H1" s="1238"/>
      <c r="I1" s="1238"/>
      <c r="J1" s="1238"/>
      <c r="K1" s="1238"/>
      <c r="L1" s="1238"/>
      <c r="M1" s="1238"/>
    </row>
    <row r="2" spans="1:22" ht="45" customHeight="1">
      <c r="A2" s="1742" t="s">
        <v>955</v>
      </c>
      <c r="B2" s="1743"/>
      <c r="C2" s="1718" t="s">
        <v>686</v>
      </c>
      <c r="D2" s="1719"/>
      <c r="E2" s="1719"/>
      <c r="F2" s="1719"/>
      <c r="G2" s="1719"/>
      <c r="H2" s="1719"/>
      <c r="I2" s="1719"/>
      <c r="J2" s="1719"/>
      <c r="K2" s="1719"/>
      <c r="L2" s="1719"/>
      <c r="M2" s="1720"/>
      <c r="N2" s="1700" t="s">
        <v>656</v>
      </c>
      <c r="O2" s="1701"/>
      <c r="P2" s="1701"/>
      <c r="Q2" s="1701"/>
      <c r="R2" s="1701"/>
      <c r="S2" s="1701"/>
      <c r="T2" s="1702"/>
      <c r="U2" s="1703" t="s">
        <v>695</v>
      </c>
      <c r="V2" s="1703" t="s">
        <v>654</v>
      </c>
    </row>
    <row r="3" spans="1:22" ht="112.5" customHeight="1">
      <c r="A3" s="1744"/>
      <c r="B3" s="1745"/>
      <c r="C3" s="1748" t="s">
        <v>589</v>
      </c>
      <c r="D3" s="1717" t="s">
        <v>744</v>
      </c>
      <c r="E3" s="1717" t="s">
        <v>687</v>
      </c>
      <c r="F3" s="1706" t="s">
        <v>501</v>
      </c>
      <c r="G3" s="1706" t="s">
        <v>445</v>
      </c>
      <c r="H3" s="1706" t="s">
        <v>688</v>
      </c>
      <c r="I3" s="1277" t="s">
        <v>456</v>
      </c>
      <c r="J3" s="1706" t="s">
        <v>689</v>
      </c>
      <c r="K3" s="1706" t="s">
        <v>967</v>
      </c>
      <c r="L3" s="1706" t="s">
        <v>690</v>
      </c>
      <c r="M3" s="1717" t="s">
        <v>655</v>
      </c>
      <c r="N3" s="1709" t="s">
        <v>527</v>
      </c>
      <c r="O3" s="1278" t="s">
        <v>691</v>
      </c>
      <c r="P3" s="1278" t="s">
        <v>457</v>
      </c>
      <c r="Q3" s="1709" t="s">
        <v>692</v>
      </c>
      <c r="R3" s="1709" t="s">
        <v>967</v>
      </c>
      <c r="S3" s="1709" t="s">
        <v>693</v>
      </c>
      <c r="T3" s="1278" t="s">
        <v>694</v>
      </c>
      <c r="U3" s="1704"/>
      <c r="V3" s="1704"/>
    </row>
    <row r="4" spans="1:22" ht="23.25" customHeight="1">
      <c r="A4" s="1746"/>
      <c r="B4" s="1747"/>
      <c r="C4" s="1749"/>
      <c r="D4" s="1717"/>
      <c r="E4" s="1717"/>
      <c r="F4" s="1707"/>
      <c r="G4" s="1707"/>
      <c r="H4" s="1707"/>
      <c r="I4" s="1018">
        <v>2.5000000000000001E-3</v>
      </c>
      <c r="J4" s="1707"/>
      <c r="K4" s="1707"/>
      <c r="L4" s="1707"/>
      <c r="M4" s="1717"/>
      <c r="N4" s="1710"/>
      <c r="O4" s="1276"/>
      <c r="P4" s="1019">
        <v>2.5000000000000001E-3</v>
      </c>
      <c r="Q4" s="1710"/>
      <c r="R4" s="1710"/>
      <c r="S4" s="1710"/>
      <c r="T4" s="1276"/>
      <c r="U4" s="1705"/>
      <c r="V4" s="1705"/>
    </row>
    <row r="5" spans="1:22" ht="14.25" customHeight="1">
      <c r="A5" s="950"/>
      <c r="B5" s="951"/>
      <c r="C5" s="952">
        <v>1</v>
      </c>
      <c r="D5" s="952">
        <f t="shared" ref="D5" si="0">C5+1</f>
        <v>2</v>
      </c>
      <c r="E5" s="952">
        <f>D5+1</f>
        <v>3</v>
      </c>
      <c r="F5" s="952">
        <f t="shared" ref="F5:V5" si="1">E5+1</f>
        <v>4</v>
      </c>
      <c r="G5" s="952">
        <f t="shared" si="1"/>
        <v>5</v>
      </c>
      <c r="H5" s="952">
        <f t="shared" si="1"/>
        <v>6</v>
      </c>
      <c r="I5" s="952">
        <f t="shared" si="1"/>
        <v>7</v>
      </c>
      <c r="J5" s="952">
        <f t="shared" si="1"/>
        <v>8</v>
      </c>
      <c r="K5" s="952">
        <f t="shared" si="1"/>
        <v>9</v>
      </c>
      <c r="L5" s="952">
        <f t="shared" si="1"/>
        <v>10</v>
      </c>
      <c r="M5" s="952">
        <f t="shared" si="1"/>
        <v>11</v>
      </c>
      <c r="N5" s="952">
        <f t="shared" si="1"/>
        <v>12</v>
      </c>
      <c r="O5" s="952">
        <f t="shared" si="1"/>
        <v>13</v>
      </c>
      <c r="P5" s="952">
        <f t="shared" si="1"/>
        <v>14</v>
      </c>
      <c r="Q5" s="952">
        <f t="shared" si="1"/>
        <v>15</v>
      </c>
      <c r="R5" s="952">
        <f t="shared" si="1"/>
        <v>16</v>
      </c>
      <c r="S5" s="952">
        <f t="shared" si="1"/>
        <v>17</v>
      </c>
      <c r="T5" s="952">
        <f t="shared" si="1"/>
        <v>18</v>
      </c>
      <c r="U5" s="952">
        <f t="shared" si="1"/>
        <v>19</v>
      </c>
      <c r="V5" s="952">
        <f t="shared" si="1"/>
        <v>20</v>
      </c>
    </row>
    <row r="6" spans="1:22" ht="27" customHeight="1">
      <c r="A6" s="979"/>
      <c r="B6" s="980"/>
      <c r="C6" s="980"/>
      <c r="D6" s="980"/>
      <c r="E6" s="980"/>
      <c r="F6" s="980"/>
      <c r="G6" s="980"/>
      <c r="H6" s="980"/>
      <c r="I6" s="980"/>
      <c r="J6" s="980"/>
      <c r="K6" s="980"/>
      <c r="L6" s="980"/>
      <c r="M6" s="980"/>
      <c r="N6" s="980"/>
      <c r="O6" s="980"/>
      <c r="P6" s="980"/>
      <c r="Q6" s="980"/>
      <c r="R6" s="980"/>
      <c r="S6" s="980"/>
      <c r="T6" s="980"/>
      <c r="U6" s="980"/>
      <c r="V6" s="980"/>
    </row>
    <row r="7" spans="1:22">
      <c r="A7" s="953">
        <v>1</v>
      </c>
      <c r="B7" s="954" t="s">
        <v>93</v>
      </c>
      <c r="C7" s="1080">
        <v>0</v>
      </c>
      <c r="D7" s="956">
        <f>'Table 3 Levels 1&amp;2'!AL8</f>
        <v>4597.5882673899441</v>
      </c>
      <c r="E7" s="1010">
        <f>C7*D7</f>
        <v>0</v>
      </c>
      <c r="F7" s="1010">
        <f>'Table 4 Level 3'!P6</f>
        <v>777.48</v>
      </c>
      <c r="G7" s="1010">
        <f>C7*F7</f>
        <v>0</v>
      </c>
      <c r="H7" s="957">
        <f>E7+G7</f>
        <v>0</v>
      </c>
      <c r="I7" s="1020">
        <f>-(0.25%*H7)</f>
        <v>0</v>
      </c>
      <c r="J7" s="957">
        <f>SUM(H7:I7)</f>
        <v>0</v>
      </c>
      <c r="K7" s="957">
        <v>0</v>
      </c>
      <c r="L7" s="957">
        <f>SUM(J7:K7)</f>
        <v>0</v>
      </c>
      <c r="M7" s="957">
        <f>L7/12</f>
        <v>0</v>
      </c>
      <c r="N7" s="981">
        <f>'Table 5C1A-Madison Prep'!N7</f>
        <v>2168</v>
      </c>
      <c r="O7" s="958">
        <f>C7*N7</f>
        <v>0</v>
      </c>
      <c r="P7" s="1028">
        <f>-(0.25%*O7)</f>
        <v>0</v>
      </c>
      <c r="Q7" s="958">
        <f>SUM(O7:P7)</f>
        <v>0</v>
      </c>
      <c r="R7" s="958">
        <v>0</v>
      </c>
      <c r="S7" s="958">
        <f>SUM(Q7:R7)</f>
        <v>0</v>
      </c>
      <c r="T7" s="958">
        <f>S7/12</f>
        <v>0</v>
      </c>
      <c r="U7" s="959">
        <f>L7+S7</f>
        <v>0</v>
      </c>
      <c r="V7" s="959">
        <f>M7+T7</f>
        <v>0</v>
      </c>
    </row>
    <row r="8" spans="1:22">
      <c r="A8" s="960">
        <v>2</v>
      </c>
      <c r="B8" s="961" t="s">
        <v>94</v>
      </c>
      <c r="C8" s="1078">
        <v>0</v>
      </c>
      <c r="D8" s="962">
        <f>'Table 3 Levels 1&amp;2'!AL9</f>
        <v>6182.4313545138375</v>
      </c>
      <c r="E8" s="1011">
        <f t="shared" ref="E8:E71" si="2">C8*D8</f>
        <v>0</v>
      </c>
      <c r="F8" s="1011">
        <f>'Table 4 Level 3'!P7</f>
        <v>842.32</v>
      </c>
      <c r="G8" s="1011">
        <f t="shared" ref="G8:G71" si="3">C8*F8</f>
        <v>0</v>
      </c>
      <c r="H8" s="982">
        <f t="shared" ref="H8:H71" si="4">E8+G8</f>
        <v>0</v>
      </c>
      <c r="I8" s="1021">
        <f t="shared" ref="I8:I71" si="5">-(0.25%*H8)</f>
        <v>0</v>
      </c>
      <c r="J8" s="982">
        <f t="shared" ref="J8:J71" si="6">SUM(H8:I8)</f>
        <v>0</v>
      </c>
      <c r="K8" s="982">
        <v>0</v>
      </c>
      <c r="L8" s="982">
        <f t="shared" ref="L8:L71" si="7">SUM(J8:K8)</f>
        <v>0</v>
      </c>
      <c r="M8" s="982">
        <f t="shared" ref="M8:M71" si="8">L8/12</f>
        <v>0</v>
      </c>
      <c r="N8" s="981">
        <f>'Table 5C1A-Madison Prep'!N8</f>
        <v>2627</v>
      </c>
      <c r="O8" s="983">
        <f t="shared" ref="O8:O71" si="9">C8*N8</f>
        <v>0</v>
      </c>
      <c r="P8" s="1029">
        <f t="shared" ref="P8:P71" si="10">-(0.25%*O8)</f>
        <v>0</v>
      </c>
      <c r="Q8" s="983">
        <f t="shared" ref="Q8:Q71" si="11">SUM(O8:P8)</f>
        <v>0</v>
      </c>
      <c r="R8" s="983">
        <v>0</v>
      </c>
      <c r="S8" s="983">
        <f t="shared" ref="S8:S71" si="12">SUM(Q8:R8)</f>
        <v>0</v>
      </c>
      <c r="T8" s="983">
        <f t="shared" ref="T8:T71" si="13">S8/12</f>
        <v>0</v>
      </c>
      <c r="U8" s="984">
        <f t="shared" ref="U8:V71" si="14">L8+S8</f>
        <v>0</v>
      </c>
      <c r="V8" s="984">
        <f t="shared" si="14"/>
        <v>0</v>
      </c>
    </row>
    <row r="9" spans="1:22">
      <c r="A9" s="960">
        <v>3</v>
      </c>
      <c r="B9" s="961" t="s">
        <v>95</v>
      </c>
      <c r="C9" s="1078">
        <v>0</v>
      </c>
      <c r="D9" s="962">
        <f>'Table 3 Levels 1&amp;2'!AL10</f>
        <v>4206.710737685361</v>
      </c>
      <c r="E9" s="1011">
        <f t="shared" si="2"/>
        <v>0</v>
      </c>
      <c r="F9" s="1011">
        <f>'Table 4 Level 3'!P8</f>
        <v>596.84</v>
      </c>
      <c r="G9" s="1011">
        <f t="shared" si="3"/>
        <v>0</v>
      </c>
      <c r="H9" s="982">
        <f t="shared" si="4"/>
        <v>0</v>
      </c>
      <c r="I9" s="1021">
        <f t="shared" si="5"/>
        <v>0</v>
      </c>
      <c r="J9" s="982">
        <f t="shared" si="6"/>
        <v>0</v>
      </c>
      <c r="K9" s="982">
        <v>0</v>
      </c>
      <c r="L9" s="982">
        <f t="shared" si="7"/>
        <v>0</v>
      </c>
      <c r="M9" s="982">
        <f t="shared" si="8"/>
        <v>0</v>
      </c>
      <c r="N9" s="981">
        <f>'Table 5C1A-Madison Prep'!N9</f>
        <v>5431</v>
      </c>
      <c r="O9" s="983">
        <f t="shared" si="9"/>
        <v>0</v>
      </c>
      <c r="P9" s="1029">
        <f t="shared" si="10"/>
        <v>0</v>
      </c>
      <c r="Q9" s="983">
        <f t="shared" si="11"/>
        <v>0</v>
      </c>
      <c r="R9" s="983">
        <v>0</v>
      </c>
      <c r="S9" s="983">
        <f t="shared" si="12"/>
        <v>0</v>
      </c>
      <c r="T9" s="983">
        <f t="shared" si="13"/>
        <v>0</v>
      </c>
      <c r="U9" s="984">
        <f t="shared" si="14"/>
        <v>0</v>
      </c>
      <c r="V9" s="984">
        <f t="shared" si="14"/>
        <v>0</v>
      </c>
    </row>
    <row r="10" spans="1:22">
      <c r="A10" s="960">
        <v>4</v>
      </c>
      <c r="B10" s="961" t="s">
        <v>96</v>
      </c>
      <c r="C10" s="1078">
        <v>0</v>
      </c>
      <c r="D10" s="962">
        <f>'Table 3 Levels 1&amp;2'!AL11</f>
        <v>5987.4993535453223</v>
      </c>
      <c r="E10" s="1011">
        <f t="shared" si="2"/>
        <v>0</v>
      </c>
      <c r="F10" s="1011">
        <f>'Table 4 Level 3'!P9</f>
        <v>585.76</v>
      </c>
      <c r="G10" s="1011">
        <f t="shared" si="3"/>
        <v>0</v>
      </c>
      <c r="H10" s="982">
        <f t="shared" si="4"/>
        <v>0</v>
      </c>
      <c r="I10" s="1021">
        <f t="shared" si="5"/>
        <v>0</v>
      </c>
      <c r="J10" s="982">
        <f t="shared" si="6"/>
        <v>0</v>
      </c>
      <c r="K10" s="982">
        <v>0</v>
      </c>
      <c r="L10" s="982">
        <f t="shared" si="7"/>
        <v>0</v>
      </c>
      <c r="M10" s="982">
        <f t="shared" si="8"/>
        <v>0</v>
      </c>
      <c r="N10" s="981">
        <f>'Table 5C1A-Madison Prep'!N10</f>
        <v>3029</v>
      </c>
      <c r="O10" s="983">
        <f t="shared" si="9"/>
        <v>0</v>
      </c>
      <c r="P10" s="1029">
        <f t="shared" si="10"/>
        <v>0</v>
      </c>
      <c r="Q10" s="983">
        <f t="shared" si="11"/>
        <v>0</v>
      </c>
      <c r="R10" s="983">
        <v>0</v>
      </c>
      <c r="S10" s="983">
        <f t="shared" si="12"/>
        <v>0</v>
      </c>
      <c r="T10" s="983">
        <f t="shared" si="13"/>
        <v>0</v>
      </c>
      <c r="U10" s="984">
        <f t="shared" si="14"/>
        <v>0</v>
      </c>
      <c r="V10" s="984">
        <f t="shared" si="14"/>
        <v>0</v>
      </c>
    </row>
    <row r="11" spans="1:22">
      <c r="A11" s="963">
        <v>5</v>
      </c>
      <c r="B11" s="964" t="s">
        <v>97</v>
      </c>
      <c r="C11" s="1079">
        <v>0</v>
      </c>
      <c r="D11" s="965">
        <f>'Table 3 Levels 1&amp;2'!AL12</f>
        <v>4986.8166927080074</v>
      </c>
      <c r="E11" s="1012">
        <f t="shared" si="2"/>
        <v>0</v>
      </c>
      <c r="F11" s="1012">
        <f>'Table 4 Level 3'!P10</f>
        <v>555.91</v>
      </c>
      <c r="G11" s="1012">
        <f t="shared" si="3"/>
        <v>0</v>
      </c>
      <c r="H11" s="985">
        <f t="shared" si="4"/>
        <v>0</v>
      </c>
      <c r="I11" s="1022">
        <f t="shared" si="5"/>
        <v>0</v>
      </c>
      <c r="J11" s="985">
        <f t="shared" si="6"/>
        <v>0</v>
      </c>
      <c r="K11" s="985">
        <v>0</v>
      </c>
      <c r="L11" s="985">
        <f t="shared" si="7"/>
        <v>0</v>
      </c>
      <c r="M11" s="985">
        <f t="shared" si="8"/>
        <v>0</v>
      </c>
      <c r="N11" s="986">
        <f>'Table 5C1A-Madison Prep'!N11</f>
        <v>1751</v>
      </c>
      <c r="O11" s="987">
        <f t="shared" si="9"/>
        <v>0</v>
      </c>
      <c r="P11" s="1030">
        <f t="shared" si="10"/>
        <v>0</v>
      </c>
      <c r="Q11" s="987">
        <f t="shared" si="11"/>
        <v>0</v>
      </c>
      <c r="R11" s="987">
        <v>0</v>
      </c>
      <c r="S11" s="987">
        <f t="shared" si="12"/>
        <v>0</v>
      </c>
      <c r="T11" s="987">
        <f t="shared" si="13"/>
        <v>0</v>
      </c>
      <c r="U11" s="988">
        <f t="shared" si="14"/>
        <v>0</v>
      </c>
      <c r="V11" s="988">
        <f t="shared" si="14"/>
        <v>0</v>
      </c>
    </row>
    <row r="12" spans="1:22">
      <c r="A12" s="953">
        <v>6</v>
      </c>
      <c r="B12" s="954" t="s">
        <v>98</v>
      </c>
      <c r="C12" s="1080">
        <v>0</v>
      </c>
      <c r="D12" s="956">
        <f>'Table 3 Levels 1&amp;2'!AL13</f>
        <v>5412.7883404260592</v>
      </c>
      <c r="E12" s="1010">
        <f t="shared" si="2"/>
        <v>0</v>
      </c>
      <c r="F12" s="1010">
        <f>'Table 4 Level 3'!P11</f>
        <v>545.4799999999999</v>
      </c>
      <c r="G12" s="1010">
        <f t="shared" si="3"/>
        <v>0</v>
      </c>
      <c r="H12" s="957">
        <f t="shared" si="4"/>
        <v>0</v>
      </c>
      <c r="I12" s="1020">
        <f t="shared" si="5"/>
        <v>0</v>
      </c>
      <c r="J12" s="957">
        <f t="shared" si="6"/>
        <v>0</v>
      </c>
      <c r="K12" s="957">
        <v>0</v>
      </c>
      <c r="L12" s="957">
        <f t="shared" si="7"/>
        <v>0</v>
      </c>
      <c r="M12" s="957">
        <f t="shared" si="8"/>
        <v>0</v>
      </c>
      <c r="N12" s="981">
        <f>'Table 5C1A-Madison Prep'!N12</f>
        <v>3735</v>
      </c>
      <c r="O12" s="958">
        <f t="shared" si="9"/>
        <v>0</v>
      </c>
      <c r="P12" s="1028">
        <f t="shared" si="10"/>
        <v>0</v>
      </c>
      <c r="Q12" s="958">
        <f t="shared" si="11"/>
        <v>0</v>
      </c>
      <c r="R12" s="958">
        <v>0</v>
      </c>
      <c r="S12" s="958">
        <f t="shared" si="12"/>
        <v>0</v>
      </c>
      <c r="T12" s="958">
        <f t="shared" si="13"/>
        <v>0</v>
      </c>
      <c r="U12" s="959">
        <f t="shared" si="14"/>
        <v>0</v>
      </c>
      <c r="V12" s="959">
        <f t="shared" si="14"/>
        <v>0</v>
      </c>
    </row>
    <row r="13" spans="1:22">
      <c r="A13" s="960">
        <v>7</v>
      </c>
      <c r="B13" s="961" t="s">
        <v>99</v>
      </c>
      <c r="C13" s="1078">
        <v>0</v>
      </c>
      <c r="D13" s="962">
        <f>'Table 3 Levels 1&amp;2'!AL14</f>
        <v>1766.1023604176123</v>
      </c>
      <c r="E13" s="1011">
        <f t="shared" si="2"/>
        <v>0</v>
      </c>
      <c r="F13" s="1011">
        <f>'Table 4 Level 3'!P12</f>
        <v>756.91999999999985</v>
      </c>
      <c r="G13" s="1011">
        <f t="shared" si="3"/>
        <v>0</v>
      </c>
      <c r="H13" s="982">
        <f t="shared" si="4"/>
        <v>0</v>
      </c>
      <c r="I13" s="1021">
        <f t="shared" si="5"/>
        <v>0</v>
      </c>
      <c r="J13" s="982">
        <f t="shared" si="6"/>
        <v>0</v>
      </c>
      <c r="K13" s="982">
        <v>0</v>
      </c>
      <c r="L13" s="982">
        <f t="shared" si="7"/>
        <v>0</v>
      </c>
      <c r="M13" s="982">
        <f t="shared" si="8"/>
        <v>0</v>
      </c>
      <c r="N13" s="981">
        <f>'Table 5C1A-Madison Prep'!N13</f>
        <v>11329</v>
      </c>
      <c r="O13" s="983">
        <f t="shared" si="9"/>
        <v>0</v>
      </c>
      <c r="P13" s="1029">
        <f t="shared" si="10"/>
        <v>0</v>
      </c>
      <c r="Q13" s="983">
        <f t="shared" si="11"/>
        <v>0</v>
      </c>
      <c r="R13" s="983">
        <v>0</v>
      </c>
      <c r="S13" s="983">
        <f t="shared" si="12"/>
        <v>0</v>
      </c>
      <c r="T13" s="983">
        <f t="shared" si="13"/>
        <v>0</v>
      </c>
      <c r="U13" s="984">
        <f t="shared" si="14"/>
        <v>0</v>
      </c>
      <c r="V13" s="984">
        <f t="shared" si="14"/>
        <v>0</v>
      </c>
    </row>
    <row r="14" spans="1:22">
      <c r="A14" s="960">
        <v>8</v>
      </c>
      <c r="B14" s="961" t="s">
        <v>100</v>
      </c>
      <c r="C14" s="1078">
        <v>0</v>
      </c>
      <c r="D14" s="962">
        <f>'Table 3 Levels 1&amp;2'!AL15</f>
        <v>4289.5073606712331</v>
      </c>
      <c r="E14" s="1011">
        <f t="shared" si="2"/>
        <v>0</v>
      </c>
      <c r="F14" s="1011">
        <f>'Table 4 Level 3'!P13</f>
        <v>725.76</v>
      </c>
      <c r="G14" s="1011">
        <f t="shared" si="3"/>
        <v>0</v>
      </c>
      <c r="H14" s="982">
        <f t="shared" si="4"/>
        <v>0</v>
      </c>
      <c r="I14" s="1021">
        <f t="shared" si="5"/>
        <v>0</v>
      </c>
      <c r="J14" s="982">
        <f t="shared" si="6"/>
        <v>0</v>
      </c>
      <c r="K14" s="982">
        <v>0</v>
      </c>
      <c r="L14" s="982">
        <f t="shared" si="7"/>
        <v>0</v>
      </c>
      <c r="M14" s="982">
        <f t="shared" si="8"/>
        <v>0</v>
      </c>
      <c r="N14" s="981">
        <f>'Table 5C1A-Madison Prep'!N14</f>
        <v>3915</v>
      </c>
      <c r="O14" s="983">
        <f t="shared" si="9"/>
        <v>0</v>
      </c>
      <c r="P14" s="1029">
        <f t="shared" si="10"/>
        <v>0</v>
      </c>
      <c r="Q14" s="983">
        <f t="shared" si="11"/>
        <v>0</v>
      </c>
      <c r="R14" s="983">
        <v>0</v>
      </c>
      <c r="S14" s="983">
        <f t="shared" si="12"/>
        <v>0</v>
      </c>
      <c r="T14" s="983">
        <f t="shared" si="13"/>
        <v>0</v>
      </c>
      <c r="U14" s="984">
        <f t="shared" si="14"/>
        <v>0</v>
      </c>
      <c r="V14" s="984">
        <f t="shared" si="14"/>
        <v>0</v>
      </c>
    </row>
    <row r="15" spans="1:22">
      <c r="A15" s="960">
        <v>9</v>
      </c>
      <c r="B15" s="961" t="s">
        <v>101</v>
      </c>
      <c r="C15" s="1078">
        <v>0</v>
      </c>
      <c r="D15" s="962">
        <f>'Table 3 Levels 1&amp;2'!AL16</f>
        <v>4395.6154516889328</v>
      </c>
      <c r="E15" s="1011">
        <f t="shared" si="2"/>
        <v>0</v>
      </c>
      <c r="F15" s="1011">
        <f>'Table 4 Level 3'!P14</f>
        <v>744.76</v>
      </c>
      <c r="G15" s="1011">
        <f t="shared" si="3"/>
        <v>0</v>
      </c>
      <c r="H15" s="982">
        <f t="shared" si="4"/>
        <v>0</v>
      </c>
      <c r="I15" s="1021">
        <f t="shared" si="5"/>
        <v>0</v>
      </c>
      <c r="J15" s="982">
        <f t="shared" si="6"/>
        <v>0</v>
      </c>
      <c r="K15" s="982">
        <v>0</v>
      </c>
      <c r="L15" s="982">
        <f t="shared" si="7"/>
        <v>0</v>
      </c>
      <c r="M15" s="982">
        <f t="shared" si="8"/>
        <v>0</v>
      </c>
      <c r="N15" s="981">
        <f>'Table 5C1A-Madison Prep'!N15</f>
        <v>4627</v>
      </c>
      <c r="O15" s="983">
        <f t="shared" si="9"/>
        <v>0</v>
      </c>
      <c r="P15" s="1029">
        <f t="shared" si="10"/>
        <v>0</v>
      </c>
      <c r="Q15" s="983">
        <f t="shared" si="11"/>
        <v>0</v>
      </c>
      <c r="R15" s="983">
        <v>0</v>
      </c>
      <c r="S15" s="983">
        <f t="shared" si="12"/>
        <v>0</v>
      </c>
      <c r="T15" s="983">
        <f t="shared" si="13"/>
        <v>0</v>
      </c>
      <c r="U15" s="984">
        <f t="shared" si="14"/>
        <v>0</v>
      </c>
      <c r="V15" s="984">
        <f t="shared" si="14"/>
        <v>0</v>
      </c>
    </row>
    <row r="16" spans="1:22">
      <c r="A16" s="963">
        <v>10</v>
      </c>
      <c r="B16" s="964" t="s">
        <v>102</v>
      </c>
      <c r="C16" s="1079">
        <v>0</v>
      </c>
      <c r="D16" s="965">
        <f>'Table 3 Levels 1&amp;2'!AL17</f>
        <v>4253.5980618992444</v>
      </c>
      <c r="E16" s="1012">
        <f t="shared" si="2"/>
        <v>0</v>
      </c>
      <c r="F16" s="1012">
        <f>'Table 4 Level 3'!P15</f>
        <v>608.04000000000008</v>
      </c>
      <c r="G16" s="1012">
        <f t="shared" si="3"/>
        <v>0</v>
      </c>
      <c r="H16" s="985">
        <f t="shared" si="4"/>
        <v>0</v>
      </c>
      <c r="I16" s="1022">
        <f t="shared" si="5"/>
        <v>0</v>
      </c>
      <c r="J16" s="985">
        <f t="shared" si="6"/>
        <v>0</v>
      </c>
      <c r="K16" s="985">
        <v>0</v>
      </c>
      <c r="L16" s="985">
        <f t="shared" si="7"/>
        <v>0</v>
      </c>
      <c r="M16" s="985">
        <f t="shared" si="8"/>
        <v>0</v>
      </c>
      <c r="N16" s="986">
        <f>'Table 5C1A-Madison Prep'!N16</f>
        <v>4489</v>
      </c>
      <c r="O16" s="987">
        <f t="shared" si="9"/>
        <v>0</v>
      </c>
      <c r="P16" s="1030">
        <f t="shared" si="10"/>
        <v>0</v>
      </c>
      <c r="Q16" s="987">
        <f t="shared" si="11"/>
        <v>0</v>
      </c>
      <c r="R16" s="987">
        <v>0</v>
      </c>
      <c r="S16" s="987">
        <f t="shared" si="12"/>
        <v>0</v>
      </c>
      <c r="T16" s="987">
        <f t="shared" si="13"/>
        <v>0</v>
      </c>
      <c r="U16" s="988">
        <f t="shared" si="14"/>
        <v>0</v>
      </c>
      <c r="V16" s="988">
        <f t="shared" si="14"/>
        <v>0</v>
      </c>
    </row>
    <row r="17" spans="1:22">
      <c r="A17" s="953">
        <v>11</v>
      </c>
      <c r="B17" s="954" t="s">
        <v>103</v>
      </c>
      <c r="C17" s="1080">
        <v>0</v>
      </c>
      <c r="D17" s="956">
        <f>'Table 3 Levels 1&amp;2'!AL18</f>
        <v>6852.9138435383502</v>
      </c>
      <c r="E17" s="1010">
        <f t="shared" si="2"/>
        <v>0</v>
      </c>
      <c r="F17" s="1010">
        <f>'Table 4 Level 3'!P16</f>
        <v>706.55</v>
      </c>
      <c r="G17" s="1010">
        <f t="shared" si="3"/>
        <v>0</v>
      </c>
      <c r="H17" s="957">
        <f t="shared" si="4"/>
        <v>0</v>
      </c>
      <c r="I17" s="1020">
        <f t="shared" si="5"/>
        <v>0</v>
      </c>
      <c r="J17" s="957">
        <f t="shared" si="6"/>
        <v>0</v>
      </c>
      <c r="K17" s="957">
        <v>0</v>
      </c>
      <c r="L17" s="957">
        <f t="shared" si="7"/>
        <v>0</v>
      </c>
      <c r="M17" s="957">
        <f t="shared" si="8"/>
        <v>0</v>
      </c>
      <c r="N17" s="981">
        <f>'Table 5C1A-Madison Prep'!N17</f>
        <v>3654</v>
      </c>
      <c r="O17" s="958">
        <f t="shared" si="9"/>
        <v>0</v>
      </c>
      <c r="P17" s="1028">
        <f t="shared" si="10"/>
        <v>0</v>
      </c>
      <c r="Q17" s="958">
        <f t="shared" si="11"/>
        <v>0</v>
      </c>
      <c r="R17" s="958">
        <v>0</v>
      </c>
      <c r="S17" s="958">
        <f t="shared" si="12"/>
        <v>0</v>
      </c>
      <c r="T17" s="958">
        <f t="shared" si="13"/>
        <v>0</v>
      </c>
      <c r="U17" s="959">
        <f t="shared" si="14"/>
        <v>0</v>
      </c>
      <c r="V17" s="959">
        <f t="shared" si="14"/>
        <v>0</v>
      </c>
    </row>
    <row r="18" spans="1:22">
      <c r="A18" s="960">
        <v>12</v>
      </c>
      <c r="B18" s="961" t="s">
        <v>104</v>
      </c>
      <c r="C18" s="1078">
        <v>0</v>
      </c>
      <c r="D18" s="962">
        <f>'Table 3 Levels 1&amp;2'!AL19</f>
        <v>1733.9056059356967</v>
      </c>
      <c r="E18" s="1011">
        <f t="shared" si="2"/>
        <v>0</v>
      </c>
      <c r="F18" s="1011">
        <f>'Table 4 Level 3'!P17</f>
        <v>1063.31</v>
      </c>
      <c r="G18" s="1011">
        <f t="shared" si="3"/>
        <v>0</v>
      </c>
      <c r="H18" s="982">
        <f t="shared" si="4"/>
        <v>0</v>
      </c>
      <c r="I18" s="1021">
        <f t="shared" si="5"/>
        <v>0</v>
      </c>
      <c r="J18" s="982">
        <f t="shared" si="6"/>
        <v>0</v>
      </c>
      <c r="K18" s="982">
        <v>0</v>
      </c>
      <c r="L18" s="982">
        <f t="shared" si="7"/>
        <v>0</v>
      </c>
      <c r="M18" s="982">
        <f t="shared" si="8"/>
        <v>0</v>
      </c>
      <c r="N18" s="981">
        <f>'Table 5C1A-Madison Prep'!N18</f>
        <v>13767</v>
      </c>
      <c r="O18" s="983">
        <f t="shared" si="9"/>
        <v>0</v>
      </c>
      <c r="P18" s="1029">
        <f t="shared" si="10"/>
        <v>0</v>
      </c>
      <c r="Q18" s="983">
        <f t="shared" si="11"/>
        <v>0</v>
      </c>
      <c r="R18" s="983">
        <v>0</v>
      </c>
      <c r="S18" s="983">
        <f t="shared" si="12"/>
        <v>0</v>
      </c>
      <c r="T18" s="983">
        <f t="shared" si="13"/>
        <v>0</v>
      </c>
      <c r="U18" s="984">
        <f t="shared" si="14"/>
        <v>0</v>
      </c>
      <c r="V18" s="984">
        <f t="shared" si="14"/>
        <v>0</v>
      </c>
    </row>
    <row r="19" spans="1:22">
      <c r="A19" s="960">
        <v>13</v>
      </c>
      <c r="B19" s="961" t="s">
        <v>105</v>
      </c>
      <c r="C19" s="1078">
        <v>0</v>
      </c>
      <c r="D19" s="962">
        <f>'Table 3 Levels 1&amp;2'!AL20</f>
        <v>6254.1238637730876</v>
      </c>
      <c r="E19" s="1011">
        <f t="shared" si="2"/>
        <v>0</v>
      </c>
      <c r="F19" s="1011">
        <f>'Table 4 Level 3'!P18</f>
        <v>749.43000000000006</v>
      </c>
      <c r="G19" s="1011">
        <f t="shared" si="3"/>
        <v>0</v>
      </c>
      <c r="H19" s="982">
        <f t="shared" si="4"/>
        <v>0</v>
      </c>
      <c r="I19" s="1021">
        <f t="shared" si="5"/>
        <v>0</v>
      </c>
      <c r="J19" s="982">
        <f t="shared" si="6"/>
        <v>0</v>
      </c>
      <c r="K19" s="982">
        <v>0</v>
      </c>
      <c r="L19" s="982">
        <f t="shared" si="7"/>
        <v>0</v>
      </c>
      <c r="M19" s="982">
        <f t="shared" si="8"/>
        <v>0</v>
      </c>
      <c r="N19" s="981">
        <f>'Table 5C1A-Madison Prep'!N19</f>
        <v>2525</v>
      </c>
      <c r="O19" s="983">
        <f t="shared" si="9"/>
        <v>0</v>
      </c>
      <c r="P19" s="1029">
        <f t="shared" si="10"/>
        <v>0</v>
      </c>
      <c r="Q19" s="983">
        <f t="shared" si="11"/>
        <v>0</v>
      </c>
      <c r="R19" s="983">
        <v>0</v>
      </c>
      <c r="S19" s="983">
        <f t="shared" si="12"/>
        <v>0</v>
      </c>
      <c r="T19" s="983">
        <f t="shared" si="13"/>
        <v>0</v>
      </c>
      <c r="U19" s="984">
        <f t="shared" si="14"/>
        <v>0</v>
      </c>
      <c r="V19" s="984">
        <f t="shared" si="14"/>
        <v>0</v>
      </c>
    </row>
    <row r="20" spans="1:22">
      <c r="A20" s="960">
        <v>14</v>
      </c>
      <c r="B20" s="961" t="s">
        <v>106</v>
      </c>
      <c r="C20" s="1078">
        <v>0</v>
      </c>
      <c r="D20" s="962">
        <f>'Table 3 Levels 1&amp;2'!AL21</f>
        <v>5377.9187438545459</v>
      </c>
      <c r="E20" s="1011">
        <f t="shared" si="2"/>
        <v>0</v>
      </c>
      <c r="F20" s="1011">
        <f>'Table 4 Level 3'!P19</f>
        <v>809.9799999999999</v>
      </c>
      <c r="G20" s="1011">
        <f t="shared" si="3"/>
        <v>0</v>
      </c>
      <c r="H20" s="982">
        <f t="shared" si="4"/>
        <v>0</v>
      </c>
      <c r="I20" s="1021">
        <f t="shared" si="5"/>
        <v>0</v>
      </c>
      <c r="J20" s="982">
        <f t="shared" si="6"/>
        <v>0</v>
      </c>
      <c r="K20" s="982">
        <v>0</v>
      </c>
      <c r="L20" s="982">
        <f t="shared" si="7"/>
        <v>0</v>
      </c>
      <c r="M20" s="982">
        <f t="shared" si="8"/>
        <v>0</v>
      </c>
      <c r="N20" s="981">
        <f>'Table 5C1A-Madison Prep'!N20</f>
        <v>3988</v>
      </c>
      <c r="O20" s="983">
        <f t="shared" si="9"/>
        <v>0</v>
      </c>
      <c r="P20" s="1029">
        <f t="shared" si="10"/>
        <v>0</v>
      </c>
      <c r="Q20" s="983">
        <f t="shared" si="11"/>
        <v>0</v>
      </c>
      <c r="R20" s="983">
        <v>0</v>
      </c>
      <c r="S20" s="983">
        <f t="shared" si="12"/>
        <v>0</v>
      </c>
      <c r="T20" s="983">
        <f t="shared" si="13"/>
        <v>0</v>
      </c>
      <c r="U20" s="984">
        <f t="shared" si="14"/>
        <v>0</v>
      </c>
      <c r="V20" s="984">
        <f t="shared" si="14"/>
        <v>0</v>
      </c>
    </row>
    <row r="21" spans="1:22">
      <c r="A21" s="963">
        <v>15</v>
      </c>
      <c r="B21" s="964" t="s">
        <v>107</v>
      </c>
      <c r="C21" s="1079">
        <v>0</v>
      </c>
      <c r="D21" s="965">
        <f>'Table 3 Levels 1&amp;2'!AL22</f>
        <v>5527.7651197617861</v>
      </c>
      <c r="E21" s="1012">
        <f t="shared" si="2"/>
        <v>0</v>
      </c>
      <c r="F21" s="1012">
        <f>'Table 4 Level 3'!P20</f>
        <v>553.79999999999995</v>
      </c>
      <c r="G21" s="1012">
        <f t="shared" si="3"/>
        <v>0</v>
      </c>
      <c r="H21" s="985">
        <f t="shared" si="4"/>
        <v>0</v>
      </c>
      <c r="I21" s="1022">
        <f t="shared" si="5"/>
        <v>0</v>
      </c>
      <c r="J21" s="985">
        <f t="shared" si="6"/>
        <v>0</v>
      </c>
      <c r="K21" s="985">
        <v>0</v>
      </c>
      <c r="L21" s="985">
        <f t="shared" si="7"/>
        <v>0</v>
      </c>
      <c r="M21" s="985">
        <f t="shared" si="8"/>
        <v>0</v>
      </c>
      <c r="N21" s="986">
        <f>'Table 5C1A-Madison Prep'!N21</f>
        <v>2544</v>
      </c>
      <c r="O21" s="987">
        <f t="shared" si="9"/>
        <v>0</v>
      </c>
      <c r="P21" s="1030">
        <f t="shared" si="10"/>
        <v>0</v>
      </c>
      <c r="Q21" s="987">
        <f t="shared" si="11"/>
        <v>0</v>
      </c>
      <c r="R21" s="987">
        <v>0</v>
      </c>
      <c r="S21" s="987">
        <f t="shared" si="12"/>
        <v>0</v>
      </c>
      <c r="T21" s="987">
        <f t="shared" si="13"/>
        <v>0</v>
      </c>
      <c r="U21" s="988">
        <f t="shared" si="14"/>
        <v>0</v>
      </c>
      <c r="V21" s="988">
        <f t="shared" si="14"/>
        <v>0</v>
      </c>
    </row>
    <row r="22" spans="1:22">
      <c r="A22" s="953">
        <v>16</v>
      </c>
      <c r="B22" s="954" t="s">
        <v>108</v>
      </c>
      <c r="C22" s="1080">
        <v>0</v>
      </c>
      <c r="D22" s="956">
        <f>'Table 3 Levels 1&amp;2'!AL23</f>
        <v>1530.3678845377474</v>
      </c>
      <c r="E22" s="1010">
        <f t="shared" si="2"/>
        <v>0</v>
      </c>
      <c r="F22" s="1010">
        <f>'Table 4 Level 3'!P21</f>
        <v>686.73</v>
      </c>
      <c r="G22" s="1010">
        <f t="shared" si="3"/>
        <v>0</v>
      </c>
      <c r="H22" s="957">
        <f t="shared" si="4"/>
        <v>0</v>
      </c>
      <c r="I22" s="1020">
        <f t="shared" si="5"/>
        <v>0</v>
      </c>
      <c r="J22" s="957">
        <f t="shared" si="6"/>
        <v>0</v>
      </c>
      <c r="K22" s="957">
        <v>0</v>
      </c>
      <c r="L22" s="957">
        <f t="shared" si="7"/>
        <v>0</v>
      </c>
      <c r="M22" s="957">
        <f t="shared" si="8"/>
        <v>0</v>
      </c>
      <c r="N22" s="981">
        <f>'Table 5C1A-Madison Prep'!N22</f>
        <v>12132</v>
      </c>
      <c r="O22" s="958">
        <f t="shared" si="9"/>
        <v>0</v>
      </c>
      <c r="P22" s="1028">
        <f t="shared" si="10"/>
        <v>0</v>
      </c>
      <c r="Q22" s="958">
        <f t="shared" si="11"/>
        <v>0</v>
      </c>
      <c r="R22" s="958">
        <v>0</v>
      </c>
      <c r="S22" s="958">
        <f t="shared" si="12"/>
        <v>0</v>
      </c>
      <c r="T22" s="958">
        <f t="shared" si="13"/>
        <v>0</v>
      </c>
      <c r="U22" s="959">
        <f t="shared" si="14"/>
        <v>0</v>
      </c>
      <c r="V22" s="959">
        <f t="shared" si="14"/>
        <v>0</v>
      </c>
    </row>
    <row r="23" spans="1:22">
      <c r="A23" s="960">
        <v>17</v>
      </c>
      <c r="B23" s="961" t="s">
        <v>109</v>
      </c>
      <c r="C23" s="1078">
        <v>0</v>
      </c>
      <c r="D23" s="962">
        <f>'Table 3 Levels 1&amp;2'!AL24</f>
        <v>3313.0666313017805</v>
      </c>
      <c r="E23" s="1011">
        <f t="shared" si="2"/>
        <v>0</v>
      </c>
      <c r="F23" s="1011">
        <f>'Table 4 Level 3'!P22</f>
        <v>801.47762416806802</v>
      </c>
      <c r="G23" s="1011">
        <f t="shared" si="3"/>
        <v>0</v>
      </c>
      <c r="H23" s="982">
        <f t="shared" si="4"/>
        <v>0</v>
      </c>
      <c r="I23" s="1021">
        <f t="shared" si="5"/>
        <v>0</v>
      </c>
      <c r="J23" s="982">
        <f t="shared" si="6"/>
        <v>0</v>
      </c>
      <c r="K23" s="982">
        <v>0</v>
      </c>
      <c r="L23" s="982">
        <f t="shared" si="7"/>
        <v>0</v>
      </c>
      <c r="M23" s="982">
        <f t="shared" si="8"/>
        <v>0</v>
      </c>
      <c r="N23" s="981">
        <f>'Table 5C1A-Madison Prep'!N23</f>
        <v>6764</v>
      </c>
      <c r="O23" s="983">
        <f t="shared" si="9"/>
        <v>0</v>
      </c>
      <c r="P23" s="1029">
        <f t="shared" si="10"/>
        <v>0</v>
      </c>
      <c r="Q23" s="983">
        <f t="shared" si="11"/>
        <v>0</v>
      </c>
      <c r="R23" s="983">
        <v>0</v>
      </c>
      <c r="S23" s="983">
        <f t="shared" si="12"/>
        <v>0</v>
      </c>
      <c r="T23" s="983">
        <f t="shared" si="13"/>
        <v>0</v>
      </c>
      <c r="U23" s="984">
        <f t="shared" si="14"/>
        <v>0</v>
      </c>
      <c r="V23" s="984">
        <f t="shared" si="14"/>
        <v>0</v>
      </c>
    </row>
    <row r="24" spans="1:22">
      <c r="A24" s="960">
        <v>18</v>
      </c>
      <c r="B24" s="961" t="s">
        <v>110</v>
      </c>
      <c r="C24" s="1078">
        <v>0</v>
      </c>
      <c r="D24" s="962">
        <f>'Table 3 Levels 1&amp;2'!AL25</f>
        <v>5989.1351892854573</v>
      </c>
      <c r="E24" s="1011">
        <f t="shared" si="2"/>
        <v>0</v>
      </c>
      <c r="F24" s="1011">
        <f>'Table 4 Level 3'!P23</f>
        <v>845.94999999999993</v>
      </c>
      <c r="G24" s="1011">
        <f t="shared" si="3"/>
        <v>0</v>
      </c>
      <c r="H24" s="982">
        <f t="shared" si="4"/>
        <v>0</v>
      </c>
      <c r="I24" s="1021">
        <f t="shared" si="5"/>
        <v>0</v>
      </c>
      <c r="J24" s="982">
        <f t="shared" si="6"/>
        <v>0</v>
      </c>
      <c r="K24" s="982">
        <v>0</v>
      </c>
      <c r="L24" s="982">
        <f t="shared" si="7"/>
        <v>0</v>
      </c>
      <c r="M24" s="982">
        <f t="shared" si="8"/>
        <v>0</v>
      </c>
      <c r="N24" s="981">
        <f>'Table 5C1A-Madison Prep'!N24</f>
        <v>2925</v>
      </c>
      <c r="O24" s="983">
        <f t="shared" si="9"/>
        <v>0</v>
      </c>
      <c r="P24" s="1029">
        <f t="shared" si="10"/>
        <v>0</v>
      </c>
      <c r="Q24" s="983">
        <f t="shared" si="11"/>
        <v>0</v>
      </c>
      <c r="R24" s="983">
        <v>0</v>
      </c>
      <c r="S24" s="983">
        <f t="shared" si="12"/>
        <v>0</v>
      </c>
      <c r="T24" s="983">
        <f t="shared" si="13"/>
        <v>0</v>
      </c>
      <c r="U24" s="984">
        <f t="shared" si="14"/>
        <v>0</v>
      </c>
      <c r="V24" s="984">
        <f t="shared" si="14"/>
        <v>0</v>
      </c>
    </row>
    <row r="25" spans="1:22">
      <c r="A25" s="960">
        <v>19</v>
      </c>
      <c r="B25" s="961" t="s">
        <v>111</v>
      </c>
      <c r="C25" s="1078">
        <v>0</v>
      </c>
      <c r="D25" s="962">
        <f>'Table 3 Levels 1&amp;2'!AL26</f>
        <v>5315.8913399708035</v>
      </c>
      <c r="E25" s="1011">
        <f t="shared" si="2"/>
        <v>0</v>
      </c>
      <c r="F25" s="1011">
        <f>'Table 4 Level 3'!P24</f>
        <v>905.43</v>
      </c>
      <c r="G25" s="1011">
        <f t="shared" si="3"/>
        <v>0</v>
      </c>
      <c r="H25" s="982">
        <f t="shared" si="4"/>
        <v>0</v>
      </c>
      <c r="I25" s="1021">
        <f t="shared" si="5"/>
        <v>0</v>
      </c>
      <c r="J25" s="982">
        <f t="shared" si="6"/>
        <v>0</v>
      </c>
      <c r="K25" s="982">
        <v>0</v>
      </c>
      <c r="L25" s="982">
        <f t="shared" si="7"/>
        <v>0</v>
      </c>
      <c r="M25" s="982">
        <f t="shared" si="8"/>
        <v>0</v>
      </c>
      <c r="N25" s="981">
        <f>'Table 5C1A-Madison Prep'!N25</f>
        <v>2570</v>
      </c>
      <c r="O25" s="983">
        <f t="shared" si="9"/>
        <v>0</v>
      </c>
      <c r="P25" s="1029">
        <f t="shared" si="10"/>
        <v>0</v>
      </c>
      <c r="Q25" s="983">
        <f t="shared" si="11"/>
        <v>0</v>
      </c>
      <c r="R25" s="983">
        <v>0</v>
      </c>
      <c r="S25" s="983">
        <f t="shared" si="12"/>
        <v>0</v>
      </c>
      <c r="T25" s="983">
        <f t="shared" si="13"/>
        <v>0</v>
      </c>
      <c r="U25" s="984">
        <f t="shared" si="14"/>
        <v>0</v>
      </c>
      <c r="V25" s="984">
        <f t="shared" si="14"/>
        <v>0</v>
      </c>
    </row>
    <row r="26" spans="1:22">
      <c r="A26" s="963">
        <v>20</v>
      </c>
      <c r="B26" s="964" t="s">
        <v>112</v>
      </c>
      <c r="C26" s="1079">
        <v>0</v>
      </c>
      <c r="D26" s="965">
        <f>'Table 3 Levels 1&amp;2'!AL27</f>
        <v>5420.2042919205833</v>
      </c>
      <c r="E26" s="1012">
        <f t="shared" si="2"/>
        <v>0</v>
      </c>
      <c r="F26" s="1012">
        <f>'Table 4 Level 3'!P25</f>
        <v>586.16999999999996</v>
      </c>
      <c r="G26" s="1012">
        <f t="shared" si="3"/>
        <v>0</v>
      </c>
      <c r="H26" s="985">
        <f t="shared" si="4"/>
        <v>0</v>
      </c>
      <c r="I26" s="1022">
        <f t="shared" si="5"/>
        <v>0</v>
      </c>
      <c r="J26" s="985">
        <f t="shared" si="6"/>
        <v>0</v>
      </c>
      <c r="K26" s="985">
        <v>0</v>
      </c>
      <c r="L26" s="985">
        <f t="shared" si="7"/>
        <v>0</v>
      </c>
      <c r="M26" s="985">
        <f t="shared" si="8"/>
        <v>0</v>
      </c>
      <c r="N26" s="986">
        <f>'Table 5C1A-Madison Prep'!N26</f>
        <v>2420</v>
      </c>
      <c r="O26" s="987">
        <f t="shared" si="9"/>
        <v>0</v>
      </c>
      <c r="P26" s="1030">
        <f t="shared" si="10"/>
        <v>0</v>
      </c>
      <c r="Q26" s="987">
        <f t="shared" si="11"/>
        <v>0</v>
      </c>
      <c r="R26" s="987">
        <v>0</v>
      </c>
      <c r="S26" s="987">
        <f t="shared" si="12"/>
        <v>0</v>
      </c>
      <c r="T26" s="987">
        <f t="shared" si="13"/>
        <v>0</v>
      </c>
      <c r="U26" s="988">
        <f t="shared" si="14"/>
        <v>0</v>
      </c>
      <c r="V26" s="988">
        <f t="shared" si="14"/>
        <v>0</v>
      </c>
    </row>
    <row r="27" spans="1:22">
      <c r="A27" s="953">
        <v>21</v>
      </c>
      <c r="B27" s="954" t="s">
        <v>113</v>
      </c>
      <c r="C27" s="1080">
        <v>0</v>
      </c>
      <c r="D27" s="956">
        <f>'Table 3 Levels 1&amp;2'!AL28</f>
        <v>5724.5404916279067</v>
      </c>
      <c r="E27" s="1010">
        <f t="shared" si="2"/>
        <v>0</v>
      </c>
      <c r="F27" s="1010">
        <f>'Table 4 Level 3'!P26</f>
        <v>610.35</v>
      </c>
      <c r="G27" s="1010">
        <f t="shared" si="3"/>
        <v>0</v>
      </c>
      <c r="H27" s="957">
        <f t="shared" si="4"/>
        <v>0</v>
      </c>
      <c r="I27" s="1020">
        <f t="shared" si="5"/>
        <v>0</v>
      </c>
      <c r="J27" s="957">
        <f t="shared" si="6"/>
        <v>0</v>
      </c>
      <c r="K27" s="957">
        <v>0</v>
      </c>
      <c r="L27" s="957">
        <f t="shared" si="7"/>
        <v>0</v>
      </c>
      <c r="M27" s="957">
        <f t="shared" si="8"/>
        <v>0</v>
      </c>
      <c r="N27" s="981">
        <f>'Table 5C1A-Madison Prep'!N27</f>
        <v>2265</v>
      </c>
      <c r="O27" s="958">
        <f t="shared" si="9"/>
        <v>0</v>
      </c>
      <c r="P27" s="1028">
        <f t="shared" si="10"/>
        <v>0</v>
      </c>
      <c r="Q27" s="958">
        <f t="shared" si="11"/>
        <v>0</v>
      </c>
      <c r="R27" s="958">
        <v>0</v>
      </c>
      <c r="S27" s="958">
        <f t="shared" si="12"/>
        <v>0</v>
      </c>
      <c r="T27" s="958">
        <f t="shared" si="13"/>
        <v>0</v>
      </c>
      <c r="U27" s="959">
        <f t="shared" si="14"/>
        <v>0</v>
      </c>
      <c r="V27" s="959">
        <f t="shared" si="14"/>
        <v>0</v>
      </c>
    </row>
    <row r="28" spans="1:22">
      <c r="A28" s="960">
        <v>22</v>
      </c>
      <c r="B28" s="961" t="s">
        <v>114</v>
      </c>
      <c r="C28" s="1078">
        <v>0</v>
      </c>
      <c r="D28" s="962">
        <f>'Table 3 Levels 1&amp;2'!AL29</f>
        <v>6203.2933768722742</v>
      </c>
      <c r="E28" s="1011">
        <f t="shared" si="2"/>
        <v>0</v>
      </c>
      <c r="F28" s="1011">
        <f>'Table 4 Level 3'!P27</f>
        <v>496.36</v>
      </c>
      <c r="G28" s="1011">
        <f t="shared" si="3"/>
        <v>0</v>
      </c>
      <c r="H28" s="982">
        <f t="shared" si="4"/>
        <v>0</v>
      </c>
      <c r="I28" s="1021">
        <f t="shared" si="5"/>
        <v>0</v>
      </c>
      <c r="J28" s="982">
        <f t="shared" si="6"/>
        <v>0</v>
      </c>
      <c r="K28" s="982">
        <v>0</v>
      </c>
      <c r="L28" s="982">
        <f t="shared" si="7"/>
        <v>0</v>
      </c>
      <c r="M28" s="982">
        <f t="shared" si="8"/>
        <v>0</v>
      </c>
      <c r="N28" s="981">
        <f>'Table 5C1A-Madison Prep'!N28</f>
        <v>1438</v>
      </c>
      <c r="O28" s="983">
        <f t="shared" si="9"/>
        <v>0</v>
      </c>
      <c r="P28" s="1029">
        <f t="shared" si="10"/>
        <v>0</v>
      </c>
      <c r="Q28" s="983">
        <f t="shared" si="11"/>
        <v>0</v>
      </c>
      <c r="R28" s="983">
        <v>0</v>
      </c>
      <c r="S28" s="983">
        <f t="shared" si="12"/>
        <v>0</v>
      </c>
      <c r="T28" s="983">
        <f t="shared" si="13"/>
        <v>0</v>
      </c>
      <c r="U28" s="984">
        <f t="shared" si="14"/>
        <v>0</v>
      </c>
      <c r="V28" s="984">
        <f t="shared" si="14"/>
        <v>0</v>
      </c>
    </row>
    <row r="29" spans="1:22">
      <c r="A29" s="960">
        <v>23</v>
      </c>
      <c r="B29" s="961" t="s">
        <v>115</v>
      </c>
      <c r="C29" s="1078">
        <v>0</v>
      </c>
      <c r="D29" s="962">
        <f>'Table 3 Levels 1&amp;2'!AL30</f>
        <v>4846.0802490067681</v>
      </c>
      <c r="E29" s="1011">
        <f t="shared" si="2"/>
        <v>0</v>
      </c>
      <c r="F29" s="1011">
        <f>'Table 4 Level 3'!P28</f>
        <v>688.58</v>
      </c>
      <c r="G29" s="1011">
        <f t="shared" si="3"/>
        <v>0</v>
      </c>
      <c r="H29" s="982">
        <f t="shared" si="4"/>
        <v>0</v>
      </c>
      <c r="I29" s="1021">
        <f t="shared" si="5"/>
        <v>0</v>
      </c>
      <c r="J29" s="982">
        <f t="shared" si="6"/>
        <v>0</v>
      </c>
      <c r="K29" s="982">
        <v>0</v>
      </c>
      <c r="L29" s="982">
        <f t="shared" si="7"/>
        <v>0</v>
      </c>
      <c r="M29" s="982">
        <f t="shared" si="8"/>
        <v>0</v>
      </c>
      <c r="N29" s="981">
        <f>'Table 5C1A-Madison Prep'!N29</f>
        <v>3386</v>
      </c>
      <c r="O29" s="983">
        <f t="shared" si="9"/>
        <v>0</v>
      </c>
      <c r="P29" s="1029">
        <f t="shared" si="10"/>
        <v>0</v>
      </c>
      <c r="Q29" s="983">
        <f t="shared" si="11"/>
        <v>0</v>
      </c>
      <c r="R29" s="983">
        <v>0</v>
      </c>
      <c r="S29" s="983">
        <f t="shared" si="12"/>
        <v>0</v>
      </c>
      <c r="T29" s="983">
        <f t="shared" si="13"/>
        <v>0</v>
      </c>
      <c r="U29" s="984">
        <f t="shared" si="14"/>
        <v>0</v>
      </c>
      <c r="V29" s="984">
        <f t="shared" si="14"/>
        <v>0</v>
      </c>
    </row>
    <row r="30" spans="1:22">
      <c r="A30" s="960">
        <v>24</v>
      </c>
      <c r="B30" s="961" t="s">
        <v>116</v>
      </c>
      <c r="C30" s="1078">
        <v>0</v>
      </c>
      <c r="D30" s="962">
        <f>'Table 3 Levels 1&amp;2'!AL31</f>
        <v>2764.1216755319151</v>
      </c>
      <c r="E30" s="1011">
        <f t="shared" si="2"/>
        <v>0</v>
      </c>
      <c r="F30" s="1011">
        <f>'Table 4 Level 3'!P29</f>
        <v>854.24999999999989</v>
      </c>
      <c r="G30" s="1011">
        <f t="shared" si="3"/>
        <v>0</v>
      </c>
      <c r="H30" s="982">
        <f t="shared" si="4"/>
        <v>0</v>
      </c>
      <c r="I30" s="1021">
        <f t="shared" si="5"/>
        <v>0</v>
      </c>
      <c r="J30" s="982">
        <f t="shared" si="6"/>
        <v>0</v>
      </c>
      <c r="K30" s="982">
        <v>0</v>
      </c>
      <c r="L30" s="982">
        <f t="shared" si="7"/>
        <v>0</v>
      </c>
      <c r="M30" s="982">
        <f t="shared" si="8"/>
        <v>0</v>
      </c>
      <c r="N30" s="981">
        <f>'Table 5C1A-Madison Prep'!N30</f>
        <v>9761</v>
      </c>
      <c r="O30" s="983">
        <f t="shared" si="9"/>
        <v>0</v>
      </c>
      <c r="P30" s="1029">
        <f t="shared" si="10"/>
        <v>0</v>
      </c>
      <c r="Q30" s="983">
        <f t="shared" si="11"/>
        <v>0</v>
      </c>
      <c r="R30" s="983">
        <v>0</v>
      </c>
      <c r="S30" s="983">
        <f t="shared" si="12"/>
        <v>0</v>
      </c>
      <c r="T30" s="983">
        <f t="shared" si="13"/>
        <v>0</v>
      </c>
      <c r="U30" s="984">
        <f t="shared" si="14"/>
        <v>0</v>
      </c>
      <c r="V30" s="984">
        <f t="shared" si="14"/>
        <v>0</v>
      </c>
    </row>
    <row r="31" spans="1:22">
      <c r="A31" s="963">
        <v>25</v>
      </c>
      <c r="B31" s="964" t="s">
        <v>117</v>
      </c>
      <c r="C31" s="1079">
        <v>0</v>
      </c>
      <c r="D31" s="965">
        <f>'Table 3 Levels 1&amp;2'!AL32</f>
        <v>3867.4480692053257</v>
      </c>
      <c r="E31" s="1012">
        <f t="shared" si="2"/>
        <v>0</v>
      </c>
      <c r="F31" s="1012">
        <f>'Table 4 Level 3'!P30</f>
        <v>653.73</v>
      </c>
      <c r="G31" s="1012">
        <f t="shared" si="3"/>
        <v>0</v>
      </c>
      <c r="H31" s="985">
        <f t="shared" si="4"/>
        <v>0</v>
      </c>
      <c r="I31" s="1022">
        <f t="shared" si="5"/>
        <v>0</v>
      </c>
      <c r="J31" s="985">
        <f t="shared" si="6"/>
        <v>0</v>
      </c>
      <c r="K31" s="985">
        <v>0</v>
      </c>
      <c r="L31" s="985">
        <f t="shared" si="7"/>
        <v>0</v>
      </c>
      <c r="M31" s="985">
        <f t="shared" si="8"/>
        <v>0</v>
      </c>
      <c r="N31" s="986">
        <f>'Table 5C1A-Madison Prep'!N31</f>
        <v>4842</v>
      </c>
      <c r="O31" s="987">
        <f t="shared" si="9"/>
        <v>0</v>
      </c>
      <c r="P31" s="1030">
        <f t="shared" si="10"/>
        <v>0</v>
      </c>
      <c r="Q31" s="987">
        <f t="shared" si="11"/>
        <v>0</v>
      </c>
      <c r="R31" s="987">
        <v>0</v>
      </c>
      <c r="S31" s="987">
        <f t="shared" si="12"/>
        <v>0</v>
      </c>
      <c r="T31" s="987">
        <f t="shared" si="13"/>
        <v>0</v>
      </c>
      <c r="U31" s="988">
        <f t="shared" si="14"/>
        <v>0</v>
      </c>
      <c r="V31" s="988">
        <f t="shared" si="14"/>
        <v>0</v>
      </c>
    </row>
    <row r="32" spans="1:22">
      <c r="A32" s="953">
        <v>26</v>
      </c>
      <c r="B32" s="954" t="s">
        <v>118</v>
      </c>
      <c r="C32" s="1080">
        <v>0</v>
      </c>
      <c r="D32" s="956">
        <f>'Table 3 Levels 1&amp;2'!AL33</f>
        <v>3293.481526790355</v>
      </c>
      <c r="E32" s="1010">
        <f t="shared" si="2"/>
        <v>0</v>
      </c>
      <c r="F32" s="1010">
        <f>'Table 4 Level 3'!P31</f>
        <v>836.83</v>
      </c>
      <c r="G32" s="1010">
        <f t="shared" si="3"/>
        <v>0</v>
      </c>
      <c r="H32" s="957">
        <f t="shared" si="4"/>
        <v>0</v>
      </c>
      <c r="I32" s="1020">
        <f t="shared" si="5"/>
        <v>0</v>
      </c>
      <c r="J32" s="957">
        <f t="shared" si="6"/>
        <v>0</v>
      </c>
      <c r="K32" s="957">
        <v>0</v>
      </c>
      <c r="L32" s="957">
        <f t="shared" si="7"/>
        <v>0</v>
      </c>
      <c r="M32" s="957">
        <f t="shared" si="8"/>
        <v>0</v>
      </c>
      <c r="N32" s="981">
        <f>'Table 5C1A-Madison Prep'!N32</f>
        <v>5301</v>
      </c>
      <c r="O32" s="958">
        <f t="shared" si="9"/>
        <v>0</v>
      </c>
      <c r="P32" s="1028">
        <f t="shared" si="10"/>
        <v>0</v>
      </c>
      <c r="Q32" s="958">
        <f t="shared" si="11"/>
        <v>0</v>
      </c>
      <c r="R32" s="958">
        <v>0</v>
      </c>
      <c r="S32" s="958">
        <f t="shared" si="12"/>
        <v>0</v>
      </c>
      <c r="T32" s="958">
        <f t="shared" si="13"/>
        <v>0</v>
      </c>
      <c r="U32" s="959">
        <f t="shared" si="14"/>
        <v>0</v>
      </c>
      <c r="V32" s="959">
        <f t="shared" si="14"/>
        <v>0</v>
      </c>
    </row>
    <row r="33" spans="1:22">
      <c r="A33" s="960">
        <v>27</v>
      </c>
      <c r="B33" s="961" t="s">
        <v>119</v>
      </c>
      <c r="C33" s="1081">
        <v>0</v>
      </c>
      <c r="D33" s="966">
        <f>'Table 3 Levels 1&amp;2'!AL34</f>
        <v>5680.7727517381973</v>
      </c>
      <c r="E33" s="1013">
        <f t="shared" si="2"/>
        <v>0</v>
      </c>
      <c r="F33" s="1013">
        <f>'Table 4 Level 3'!P32</f>
        <v>693.06</v>
      </c>
      <c r="G33" s="1013">
        <f t="shared" si="3"/>
        <v>0</v>
      </c>
      <c r="H33" s="989">
        <f t="shared" si="4"/>
        <v>0</v>
      </c>
      <c r="I33" s="1023">
        <f t="shared" si="5"/>
        <v>0</v>
      </c>
      <c r="J33" s="989">
        <f t="shared" si="6"/>
        <v>0</v>
      </c>
      <c r="K33" s="989">
        <v>0</v>
      </c>
      <c r="L33" s="989">
        <f t="shared" si="7"/>
        <v>0</v>
      </c>
      <c r="M33" s="989">
        <f t="shared" si="8"/>
        <v>0</v>
      </c>
      <c r="N33" s="981">
        <f>'Table 5C1A-Madison Prep'!N33</f>
        <v>3252</v>
      </c>
      <c r="O33" s="983">
        <f t="shared" si="9"/>
        <v>0</v>
      </c>
      <c r="P33" s="1029">
        <f t="shared" si="10"/>
        <v>0</v>
      </c>
      <c r="Q33" s="983">
        <f t="shared" si="11"/>
        <v>0</v>
      </c>
      <c r="R33" s="983">
        <v>0</v>
      </c>
      <c r="S33" s="983">
        <f t="shared" si="12"/>
        <v>0</v>
      </c>
      <c r="T33" s="983">
        <f t="shared" si="13"/>
        <v>0</v>
      </c>
      <c r="U33" s="984">
        <f t="shared" si="14"/>
        <v>0</v>
      </c>
      <c r="V33" s="984">
        <f t="shared" si="14"/>
        <v>0</v>
      </c>
    </row>
    <row r="34" spans="1:22">
      <c r="A34" s="960">
        <v>28</v>
      </c>
      <c r="B34" s="961" t="s">
        <v>120</v>
      </c>
      <c r="C34" s="1081">
        <v>0</v>
      </c>
      <c r="D34" s="966">
        <f>'Table 3 Levels 1&amp;2'!AL35</f>
        <v>3163.1694438483169</v>
      </c>
      <c r="E34" s="1013">
        <f t="shared" si="2"/>
        <v>0</v>
      </c>
      <c r="F34" s="1013">
        <f>'Table 4 Level 3'!P33</f>
        <v>694.4</v>
      </c>
      <c r="G34" s="1013">
        <f t="shared" si="3"/>
        <v>0</v>
      </c>
      <c r="H34" s="989">
        <f t="shared" si="4"/>
        <v>0</v>
      </c>
      <c r="I34" s="1023">
        <f t="shared" si="5"/>
        <v>0</v>
      </c>
      <c r="J34" s="989">
        <f t="shared" si="6"/>
        <v>0</v>
      </c>
      <c r="K34" s="989">
        <v>0</v>
      </c>
      <c r="L34" s="989">
        <f t="shared" si="7"/>
        <v>0</v>
      </c>
      <c r="M34" s="989">
        <f t="shared" si="8"/>
        <v>0</v>
      </c>
      <c r="N34" s="981">
        <f>'Table 5C1A-Madison Prep'!N34</f>
        <v>5361</v>
      </c>
      <c r="O34" s="983">
        <f t="shared" si="9"/>
        <v>0</v>
      </c>
      <c r="P34" s="1029">
        <f t="shared" si="10"/>
        <v>0</v>
      </c>
      <c r="Q34" s="983">
        <f t="shared" si="11"/>
        <v>0</v>
      </c>
      <c r="R34" s="983">
        <v>0</v>
      </c>
      <c r="S34" s="983">
        <f t="shared" si="12"/>
        <v>0</v>
      </c>
      <c r="T34" s="983">
        <f t="shared" si="13"/>
        <v>0</v>
      </c>
      <c r="U34" s="984">
        <f t="shared" si="14"/>
        <v>0</v>
      </c>
      <c r="V34" s="984">
        <f t="shared" si="14"/>
        <v>0</v>
      </c>
    </row>
    <row r="35" spans="1:22">
      <c r="A35" s="960">
        <v>29</v>
      </c>
      <c r="B35" s="961" t="s">
        <v>121</v>
      </c>
      <c r="C35" s="1081">
        <v>0</v>
      </c>
      <c r="D35" s="966">
        <f>'Table 3 Levels 1&amp;2'!AL36</f>
        <v>3952.5586133052648</v>
      </c>
      <c r="E35" s="1013">
        <f t="shared" si="2"/>
        <v>0</v>
      </c>
      <c r="F35" s="1013">
        <f>'Table 4 Level 3'!P34</f>
        <v>754.94999999999993</v>
      </c>
      <c r="G35" s="1013">
        <f t="shared" si="3"/>
        <v>0</v>
      </c>
      <c r="H35" s="989">
        <f t="shared" si="4"/>
        <v>0</v>
      </c>
      <c r="I35" s="1023">
        <f t="shared" si="5"/>
        <v>0</v>
      </c>
      <c r="J35" s="989">
        <f t="shared" si="6"/>
        <v>0</v>
      </c>
      <c r="K35" s="989">
        <v>0</v>
      </c>
      <c r="L35" s="989">
        <f t="shared" si="7"/>
        <v>0</v>
      </c>
      <c r="M35" s="989">
        <f t="shared" si="8"/>
        <v>0</v>
      </c>
      <c r="N35" s="981">
        <f>'Table 5C1A-Madison Prep'!N35</f>
        <v>4763</v>
      </c>
      <c r="O35" s="983">
        <f t="shared" si="9"/>
        <v>0</v>
      </c>
      <c r="P35" s="1029">
        <f t="shared" si="10"/>
        <v>0</v>
      </c>
      <c r="Q35" s="983">
        <f t="shared" si="11"/>
        <v>0</v>
      </c>
      <c r="R35" s="983">
        <v>0</v>
      </c>
      <c r="S35" s="983">
        <f t="shared" si="12"/>
        <v>0</v>
      </c>
      <c r="T35" s="983">
        <f t="shared" si="13"/>
        <v>0</v>
      </c>
      <c r="U35" s="984">
        <f t="shared" si="14"/>
        <v>0</v>
      </c>
      <c r="V35" s="984">
        <f t="shared" si="14"/>
        <v>0</v>
      </c>
    </row>
    <row r="36" spans="1:22">
      <c r="A36" s="963">
        <v>30</v>
      </c>
      <c r="B36" s="964" t="s">
        <v>122</v>
      </c>
      <c r="C36" s="1082">
        <v>0</v>
      </c>
      <c r="D36" s="967">
        <f>'Table 3 Levels 1&amp;2'!AL37</f>
        <v>5648.6510465852989</v>
      </c>
      <c r="E36" s="1014">
        <f t="shared" si="2"/>
        <v>0</v>
      </c>
      <c r="F36" s="1014">
        <f>'Table 4 Level 3'!P35</f>
        <v>727.17</v>
      </c>
      <c r="G36" s="1014">
        <f t="shared" si="3"/>
        <v>0</v>
      </c>
      <c r="H36" s="990">
        <f t="shared" si="4"/>
        <v>0</v>
      </c>
      <c r="I36" s="1024">
        <f t="shared" si="5"/>
        <v>0</v>
      </c>
      <c r="J36" s="990">
        <f t="shared" si="6"/>
        <v>0</v>
      </c>
      <c r="K36" s="990">
        <v>0</v>
      </c>
      <c r="L36" s="990">
        <f t="shared" si="7"/>
        <v>0</v>
      </c>
      <c r="M36" s="990">
        <f t="shared" si="8"/>
        <v>0</v>
      </c>
      <c r="N36" s="986">
        <f>'Table 5C1A-Madison Prep'!N36</f>
        <v>3236</v>
      </c>
      <c r="O36" s="987">
        <f t="shared" si="9"/>
        <v>0</v>
      </c>
      <c r="P36" s="1030">
        <f t="shared" si="10"/>
        <v>0</v>
      </c>
      <c r="Q36" s="987">
        <f t="shared" si="11"/>
        <v>0</v>
      </c>
      <c r="R36" s="987">
        <v>0</v>
      </c>
      <c r="S36" s="987">
        <f t="shared" si="12"/>
        <v>0</v>
      </c>
      <c r="T36" s="987">
        <f t="shared" si="13"/>
        <v>0</v>
      </c>
      <c r="U36" s="988">
        <f t="shared" si="14"/>
        <v>0</v>
      </c>
      <c r="V36" s="988">
        <f t="shared" si="14"/>
        <v>0</v>
      </c>
    </row>
    <row r="37" spans="1:22">
      <c r="A37" s="953">
        <v>31</v>
      </c>
      <c r="B37" s="954" t="s">
        <v>123</v>
      </c>
      <c r="C37" s="1083">
        <v>0</v>
      </c>
      <c r="D37" s="968">
        <f>'Table 3 Levels 1&amp;2'!AL38</f>
        <v>4348.9307899232972</v>
      </c>
      <c r="E37" s="1015">
        <f t="shared" si="2"/>
        <v>0</v>
      </c>
      <c r="F37" s="1015">
        <f>'Table 4 Level 3'!P36</f>
        <v>620.83000000000004</v>
      </c>
      <c r="G37" s="1015">
        <f t="shared" si="3"/>
        <v>0</v>
      </c>
      <c r="H37" s="991">
        <f t="shared" si="4"/>
        <v>0</v>
      </c>
      <c r="I37" s="1025">
        <f t="shared" si="5"/>
        <v>0</v>
      </c>
      <c r="J37" s="991">
        <f t="shared" si="6"/>
        <v>0</v>
      </c>
      <c r="K37" s="991">
        <v>0</v>
      </c>
      <c r="L37" s="991">
        <f t="shared" si="7"/>
        <v>0</v>
      </c>
      <c r="M37" s="991">
        <f t="shared" si="8"/>
        <v>0</v>
      </c>
      <c r="N37" s="981">
        <f>'Table 5C1A-Madison Prep'!N37</f>
        <v>4795</v>
      </c>
      <c r="O37" s="958">
        <f t="shared" si="9"/>
        <v>0</v>
      </c>
      <c r="P37" s="1028">
        <f t="shared" si="10"/>
        <v>0</v>
      </c>
      <c r="Q37" s="958">
        <f t="shared" si="11"/>
        <v>0</v>
      </c>
      <c r="R37" s="958">
        <v>0</v>
      </c>
      <c r="S37" s="958">
        <f t="shared" si="12"/>
        <v>0</v>
      </c>
      <c r="T37" s="958">
        <f t="shared" si="13"/>
        <v>0</v>
      </c>
      <c r="U37" s="959">
        <f t="shared" si="14"/>
        <v>0</v>
      </c>
      <c r="V37" s="959">
        <f t="shared" si="14"/>
        <v>0</v>
      </c>
    </row>
    <row r="38" spans="1:22">
      <c r="A38" s="960">
        <v>32</v>
      </c>
      <c r="B38" s="961" t="s">
        <v>124</v>
      </c>
      <c r="C38" s="1081">
        <v>0</v>
      </c>
      <c r="D38" s="966">
        <f>'Table 3 Levels 1&amp;2'!AL39</f>
        <v>5531.5157655456787</v>
      </c>
      <c r="E38" s="1013">
        <f t="shared" si="2"/>
        <v>0</v>
      </c>
      <c r="F38" s="1013">
        <f>'Table 4 Level 3'!P37</f>
        <v>559.77</v>
      </c>
      <c r="G38" s="1013">
        <f t="shared" si="3"/>
        <v>0</v>
      </c>
      <c r="H38" s="989">
        <f t="shared" si="4"/>
        <v>0</v>
      </c>
      <c r="I38" s="1023">
        <f t="shared" si="5"/>
        <v>0</v>
      </c>
      <c r="J38" s="989">
        <f t="shared" si="6"/>
        <v>0</v>
      </c>
      <c r="K38" s="989">
        <v>0</v>
      </c>
      <c r="L38" s="989">
        <f t="shared" si="7"/>
        <v>0</v>
      </c>
      <c r="M38" s="989">
        <f t="shared" si="8"/>
        <v>0</v>
      </c>
      <c r="N38" s="981">
        <f>'Table 5C1A-Madison Prep'!N38</f>
        <v>2109</v>
      </c>
      <c r="O38" s="983">
        <f t="shared" si="9"/>
        <v>0</v>
      </c>
      <c r="P38" s="1029">
        <f t="shared" si="10"/>
        <v>0</v>
      </c>
      <c r="Q38" s="983">
        <f t="shared" si="11"/>
        <v>0</v>
      </c>
      <c r="R38" s="983">
        <v>0</v>
      </c>
      <c r="S38" s="983">
        <f t="shared" si="12"/>
        <v>0</v>
      </c>
      <c r="T38" s="983">
        <f t="shared" si="13"/>
        <v>0</v>
      </c>
      <c r="U38" s="984">
        <f t="shared" si="14"/>
        <v>0</v>
      </c>
      <c r="V38" s="984">
        <f t="shared" si="14"/>
        <v>0</v>
      </c>
    </row>
    <row r="39" spans="1:22">
      <c r="A39" s="960">
        <v>33</v>
      </c>
      <c r="B39" s="961" t="s">
        <v>125</v>
      </c>
      <c r="C39" s="1081">
        <v>0</v>
      </c>
      <c r="D39" s="966">
        <f>'Table 3 Levels 1&amp;2'!AL40</f>
        <v>5329.5444226517857</v>
      </c>
      <c r="E39" s="1013">
        <f t="shared" si="2"/>
        <v>0</v>
      </c>
      <c r="F39" s="1013">
        <f>'Table 4 Level 3'!P38</f>
        <v>655.31000000000006</v>
      </c>
      <c r="G39" s="1013">
        <f t="shared" si="3"/>
        <v>0</v>
      </c>
      <c r="H39" s="989">
        <f t="shared" si="4"/>
        <v>0</v>
      </c>
      <c r="I39" s="1023">
        <f t="shared" si="5"/>
        <v>0</v>
      </c>
      <c r="J39" s="989">
        <f t="shared" si="6"/>
        <v>0</v>
      </c>
      <c r="K39" s="989">
        <v>0</v>
      </c>
      <c r="L39" s="989">
        <f t="shared" si="7"/>
        <v>0</v>
      </c>
      <c r="M39" s="989">
        <f t="shared" si="8"/>
        <v>0</v>
      </c>
      <c r="N39" s="981">
        <f>'Table 5C1A-Madison Prep'!N39</f>
        <v>2649</v>
      </c>
      <c r="O39" s="983">
        <f t="shared" si="9"/>
        <v>0</v>
      </c>
      <c r="P39" s="1029">
        <f t="shared" si="10"/>
        <v>0</v>
      </c>
      <c r="Q39" s="983">
        <f t="shared" si="11"/>
        <v>0</v>
      </c>
      <c r="R39" s="983">
        <v>0</v>
      </c>
      <c r="S39" s="983">
        <f t="shared" si="12"/>
        <v>0</v>
      </c>
      <c r="T39" s="983">
        <f t="shared" si="13"/>
        <v>0</v>
      </c>
      <c r="U39" s="984">
        <f t="shared" si="14"/>
        <v>0</v>
      </c>
      <c r="V39" s="984">
        <f t="shared" si="14"/>
        <v>0</v>
      </c>
    </row>
    <row r="40" spans="1:22">
      <c r="A40" s="960">
        <v>34</v>
      </c>
      <c r="B40" s="961" t="s">
        <v>126</v>
      </c>
      <c r="C40" s="1081">
        <v>0</v>
      </c>
      <c r="D40" s="966">
        <f>'Table 3 Levels 1&amp;2'!AL41</f>
        <v>6003.632932007491</v>
      </c>
      <c r="E40" s="1013">
        <f t="shared" si="2"/>
        <v>0</v>
      </c>
      <c r="F40" s="1013">
        <f>'Table 4 Level 3'!P39</f>
        <v>644.11000000000013</v>
      </c>
      <c r="G40" s="1013">
        <f t="shared" si="3"/>
        <v>0</v>
      </c>
      <c r="H40" s="989">
        <f t="shared" si="4"/>
        <v>0</v>
      </c>
      <c r="I40" s="1023">
        <f t="shared" si="5"/>
        <v>0</v>
      </c>
      <c r="J40" s="989">
        <f t="shared" si="6"/>
        <v>0</v>
      </c>
      <c r="K40" s="989">
        <v>0</v>
      </c>
      <c r="L40" s="989">
        <f t="shared" si="7"/>
        <v>0</v>
      </c>
      <c r="M40" s="989">
        <f t="shared" si="8"/>
        <v>0</v>
      </c>
      <c r="N40" s="981">
        <f>'Table 5C1A-Madison Prep'!N40</f>
        <v>2817</v>
      </c>
      <c r="O40" s="983">
        <f t="shared" si="9"/>
        <v>0</v>
      </c>
      <c r="P40" s="1029">
        <f t="shared" si="10"/>
        <v>0</v>
      </c>
      <c r="Q40" s="983">
        <f t="shared" si="11"/>
        <v>0</v>
      </c>
      <c r="R40" s="983">
        <v>0</v>
      </c>
      <c r="S40" s="983">
        <f t="shared" si="12"/>
        <v>0</v>
      </c>
      <c r="T40" s="983">
        <f t="shared" si="13"/>
        <v>0</v>
      </c>
      <c r="U40" s="984">
        <f t="shared" si="14"/>
        <v>0</v>
      </c>
      <c r="V40" s="984">
        <f t="shared" si="14"/>
        <v>0</v>
      </c>
    </row>
    <row r="41" spans="1:22">
      <c r="A41" s="963">
        <v>35</v>
      </c>
      <c r="B41" s="964" t="s">
        <v>127</v>
      </c>
      <c r="C41" s="1082">
        <v>0</v>
      </c>
      <c r="D41" s="967">
        <f>'Table 3 Levels 1&amp;2'!AL42</f>
        <v>4607.1606416222867</v>
      </c>
      <c r="E41" s="1014">
        <f t="shared" si="2"/>
        <v>0</v>
      </c>
      <c r="F41" s="1014">
        <f>'Table 4 Level 3'!P40</f>
        <v>537.96</v>
      </c>
      <c r="G41" s="1014">
        <f t="shared" si="3"/>
        <v>0</v>
      </c>
      <c r="H41" s="990">
        <f t="shared" si="4"/>
        <v>0</v>
      </c>
      <c r="I41" s="1024">
        <f t="shared" si="5"/>
        <v>0</v>
      </c>
      <c r="J41" s="990">
        <f t="shared" si="6"/>
        <v>0</v>
      </c>
      <c r="K41" s="990">
        <v>0</v>
      </c>
      <c r="L41" s="990">
        <f t="shared" si="7"/>
        <v>0</v>
      </c>
      <c r="M41" s="990">
        <f t="shared" si="8"/>
        <v>0</v>
      </c>
      <c r="N41" s="986">
        <f>'Table 5C1A-Madison Prep'!N41</f>
        <v>3298</v>
      </c>
      <c r="O41" s="987">
        <f t="shared" si="9"/>
        <v>0</v>
      </c>
      <c r="P41" s="1030">
        <f t="shared" si="10"/>
        <v>0</v>
      </c>
      <c r="Q41" s="987">
        <f t="shared" si="11"/>
        <v>0</v>
      </c>
      <c r="R41" s="987">
        <v>0</v>
      </c>
      <c r="S41" s="987">
        <f t="shared" si="12"/>
        <v>0</v>
      </c>
      <c r="T41" s="987">
        <f t="shared" si="13"/>
        <v>0</v>
      </c>
      <c r="U41" s="988">
        <f t="shared" si="14"/>
        <v>0</v>
      </c>
      <c r="V41" s="988">
        <f t="shared" si="14"/>
        <v>0</v>
      </c>
    </row>
    <row r="42" spans="1:22">
      <c r="A42" s="953">
        <v>36</v>
      </c>
      <c r="B42" s="954" t="s">
        <v>128</v>
      </c>
      <c r="C42" s="1083">
        <v>0</v>
      </c>
      <c r="D42" s="968">
        <f>'Table 3 Levels 1&amp;2'!AL43</f>
        <v>3520.4894337711748</v>
      </c>
      <c r="E42" s="1015">
        <f t="shared" si="2"/>
        <v>0</v>
      </c>
      <c r="F42" s="1015">
        <v>746.0335616438357</v>
      </c>
      <c r="G42" s="1015">
        <f t="shared" si="3"/>
        <v>0</v>
      </c>
      <c r="H42" s="991">
        <f t="shared" si="4"/>
        <v>0</v>
      </c>
      <c r="I42" s="1025">
        <f t="shared" si="5"/>
        <v>0</v>
      </c>
      <c r="J42" s="991">
        <f t="shared" si="6"/>
        <v>0</v>
      </c>
      <c r="K42" s="991">
        <v>0</v>
      </c>
      <c r="L42" s="991">
        <f t="shared" si="7"/>
        <v>0</v>
      </c>
      <c r="M42" s="991">
        <f t="shared" si="8"/>
        <v>0</v>
      </c>
      <c r="N42" s="981">
        <f>'Table 5C1A-Madison Prep'!N42</f>
        <v>5442</v>
      </c>
      <c r="O42" s="958">
        <f t="shared" si="9"/>
        <v>0</v>
      </c>
      <c r="P42" s="1028">
        <f t="shared" si="10"/>
        <v>0</v>
      </c>
      <c r="Q42" s="958">
        <f t="shared" si="11"/>
        <v>0</v>
      </c>
      <c r="R42" s="958">
        <v>0</v>
      </c>
      <c r="S42" s="958">
        <f t="shared" si="12"/>
        <v>0</v>
      </c>
      <c r="T42" s="958">
        <f t="shared" si="13"/>
        <v>0</v>
      </c>
      <c r="U42" s="959">
        <f t="shared" si="14"/>
        <v>0</v>
      </c>
      <c r="V42" s="959">
        <f t="shared" si="14"/>
        <v>0</v>
      </c>
    </row>
    <row r="43" spans="1:22">
      <c r="A43" s="960">
        <v>37</v>
      </c>
      <c r="B43" s="961" t="s">
        <v>129</v>
      </c>
      <c r="C43" s="1081">
        <v>0</v>
      </c>
      <c r="D43" s="966">
        <f>'Table 3 Levels 1&amp;2'!AL44</f>
        <v>5503.7595641818853</v>
      </c>
      <c r="E43" s="1013">
        <f t="shared" si="2"/>
        <v>0</v>
      </c>
      <c r="F43" s="1013">
        <f>'Table 4 Level 3'!P42</f>
        <v>653.61</v>
      </c>
      <c r="G43" s="1013">
        <f t="shared" si="3"/>
        <v>0</v>
      </c>
      <c r="H43" s="989">
        <f t="shared" si="4"/>
        <v>0</v>
      </c>
      <c r="I43" s="1023">
        <f t="shared" si="5"/>
        <v>0</v>
      </c>
      <c r="J43" s="989">
        <f t="shared" si="6"/>
        <v>0</v>
      </c>
      <c r="K43" s="989">
        <v>0</v>
      </c>
      <c r="L43" s="989">
        <f t="shared" si="7"/>
        <v>0</v>
      </c>
      <c r="M43" s="989">
        <f t="shared" si="8"/>
        <v>0</v>
      </c>
      <c r="N43" s="981">
        <f>'Table 5C1A-Madison Prep'!N43</f>
        <v>3227</v>
      </c>
      <c r="O43" s="983">
        <f t="shared" si="9"/>
        <v>0</v>
      </c>
      <c r="P43" s="1029">
        <f t="shared" si="10"/>
        <v>0</v>
      </c>
      <c r="Q43" s="983">
        <f t="shared" si="11"/>
        <v>0</v>
      </c>
      <c r="R43" s="983">
        <v>0</v>
      </c>
      <c r="S43" s="983">
        <f t="shared" si="12"/>
        <v>0</v>
      </c>
      <c r="T43" s="983">
        <f t="shared" si="13"/>
        <v>0</v>
      </c>
      <c r="U43" s="984">
        <f t="shared" si="14"/>
        <v>0</v>
      </c>
      <c r="V43" s="984">
        <f t="shared" si="14"/>
        <v>0</v>
      </c>
    </row>
    <row r="44" spans="1:22">
      <c r="A44" s="960">
        <v>38</v>
      </c>
      <c r="B44" s="961" t="s">
        <v>130</v>
      </c>
      <c r="C44" s="1081">
        <v>0</v>
      </c>
      <c r="D44" s="966">
        <f>'Table 3 Levels 1&amp;2'!AL45</f>
        <v>2192.7545275590551</v>
      </c>
      <c r="E44" s="1013">
        <f t="shared" si="2"/>
        <v>0</v>
      </c>
      <c r="F44" s="1013">
        <f>'Table 4 Level 3'!P43</f>
        <v>829.92000000000007</v>
      </c>
      <c r="G44" s="1013">
        <f t="shared" si="3"/>
        <v>0</v>
      </c>
      <c r="H44" s="989">
        <f t="shared" si="4"/>
        <v>0</v>
      </c>
      <c r="I44" s="1023">
        <f t="shared" si="5"/>
        <v>0</v>
      </c>
      <c r="J44" s="989">
        <f t="shared" si="6"/>
        <v>0</v>
      </c>
      <c r="K44" s="989">
        <v>0</v>
      </c>
      <c r="L44" s="989">
        <f t="shared" si="7"/>
        <v>0</v>
      </c>
      <c r="M44" s="989">
        <f t="shared" si="8"/>
        <v>0</v>
      </c>
      <c r="N44" s="981">
        <f>'Table 5C1A-Madison Prep'!N44</f>
        <v>10867</v>
      </c>
      <c r="O44" s="983">
        <f t="shared" si="9"/>
        <v>0</v>
      </c>
      <c r="P44" s="1029">
        <f t="shared" si="10"/>
        <v>0</v>
      </c>
      <c r="Q44" s="983">
        <f t="shared" si="11"/>
        <v>0</v>
      </c>
      <c r="R44" s="983">
        <v>0</v>
      </c>
      <c r="S44" s="983">
        <f t="shared" si="12"/>
        <v>0</v>
      </c>
      <c r="T44" s="983">
        <f t="shared" si="13"/>
        <v>0</v>
      </c>
      <c r="U44" s="984">
        <f t="shared" si="14"/>
        <v>0</v>
      </c>
      <c r="V44" s="984">
        <f t="shared" si="14"/>
        <v>0</v>
      </c>
    </row>
    <row r="45" spans="1:22">
      <c r="A45" s="960">
        <v>39</v>
      </c>
      <c r="B45" s="961" t="s">
        <v>131</v>
      </c>
      <c r="C45" s="1081">
        <v>0</v>
      </c>
      <c r="D45" s="966">
        <f>'Table 3 Levels 1&amp;2'!AL46</f>
        <v>3639.9942778062696</v>
      </c>
      <c r="E45" s="1013">
        <f t="shared" si="2"/>
        <v>0</v>
      </c>
      <c r="F45" s="1013">
        <f>'Table 4 Level 3'!P44</f>
        <v>779.65573042776441</v>
      </c>
      <c r="G45" s="1013">
        <f t="shared" si="3"/>
        <v>0</v>
      </c>
      <c r="H45" s="989">
        <f t="shared" si="4"/>
        <v>0</v>
      </c>
      <c r="I45" s="1023">
        <f t="shared" si="5"/>
        <v>0</v>
      </c>
      <c r="J45" s="989">
        <f t="shared" si="6"/>
        <v>0</v>
      </c>
      <c r="K45" s="989">
        <v>0</v>
      </c>
      <c r="L45" s="989">
        <f t="shared" si="7"/>
        <v>0</v>
      </c>
      <c r="M45" s="989">
        <f t="shared" si="8"/>
        <v>0</v>
      </c>
      <c r="N45" s="981">
        <f>'Table 5C1A-Madison Prep'!N45</f>
        <v>4324</v>
      </c>
      <c r="O45" s="983">
        <f t="shared" si="9"/>
        <v>0</v>
      </c>
      <c r="P45" s="1029">
        <f t="shared" si="10"/>
        <v>0</v>
      </c>
      <c r="Q45" s="983">
        <f t="shared" si="11"/>
        <v>0</v>
      </c>
      <c r="R45" s="983">
        <v>0</v>
      </c>
      <c r="S45" s="983">
        <f t="shared" si="12"/>
        <v>0</v>
      </c>
      <c r="T45" s="983">
        <f t="shared" si="13"/>
        <v>0</v>
      </c>
      <c r="U45" s="984">
        <f t="shared" si="14"/>
        <v>0</v>
      </c>
      <c r="V45" s="984">
        <f t="shared" si="14"/>
        <v>0</v>
      </c>
    </row>
    <row r="46" spans="1:22">
      <c r="A46" s="963">
        <v>40</v>
      </c>
      <c r="B46" s="964" t="s">
        <v>132</v>
      </c>
      <c r="C46" s="1082">
        <v>0</v>
      </c>
      <c r="D46" s="967">
        <f>'Table 3 Levels 1&amp;2'!AL47</f>
        <v>4928.4974462701202</v>
      </c>
      <c r="E46" s="1014">
        <f t="shared" si="2"/>
        <v>0</v>
      </c>
      <c r="F46" s="1014">
        <f>'Table 4 Level 3'!P45</f>
        <v>700.2700000000001</v>
      </c>
      <c r="G46" s="1014">
        <f t="shared" si="3"/>
        <v>0</v>
      </c>
      <c r="H46" s="990">
        <f t="shared" si="4"/>
        <v>0</v>
      </c>
      <c r="I46" s="1024">
        <f t="shared" si="5"/>
        <v>0</v>
      </c>
      <c r="J46" s="990">
        <f t="shared" si="6"/>
        <v>0</v>
      </c>
      <c r="K46" s="990">
        <v>0</v>
      </c>
      <c r="L46" s="990">
        <f t="shared" si="7"/>
        <v>0</v>
      </c>
      <c r="M46" s="990">
        <f t="shared" si="8"/>
        <v>0</v>
      </c>
      <c r="N46" s="986">
        <f>'Table 5C1A-Madison Prep'!N46</f>
        <v>3007</v>
      </c>
      <c r="O46" s="987">
        <f t="shared" si="9"/>
        <v>0</v>
      </c>
      <c r="P46" s="1030">
        <f t="shared" si="10"/>
        <v>0</v>
      </c>
      <c r="Q46" s="987">
        <f t="shared" si="11"/>
        <v>0</v>
      </c>
      <c r="R46" s="987">
        <v>0</v>
      </c>
      <c r="S46" s="987">
        <f t="shared" si="12"/>
        <v>0</v>
      </c>
      <c r="T46" s="987">
        <f t="shared" si="13"/>
        <v>0</v>
      </c>
      <c r="U46" s="988">
        <f t="shared" si="14"/>
        <v>0</v>
      </c>
      <c r="V46" s="988">
        <f t="shared" si="14"/>
        <v>0</v>
      </c>
    </row>
    <row r="47" spans="1:22">
      <c r="A47" s="953">
        <v>41</v>
      </c>
      <c r="B47" s="954" t="s">
        <v>133</v>
      </c>
      <c r="C47" s="1083">
        <v>0</v>
      </c>
      <c r="D47" s="968">
        <f>'Table 3 Levels 1&amp;2'!AL48</f>
        <v>1615.6013465627216</v>
      </c>
      <c r="E47" s="1015">
        <f t="shared" si="2"/>
        <v>0</v>
      </c>
      <c r="F47" s="1015">
        <f>'Table 4 Level 3'!P46</f>
        <v>886.22</v>
      </c>
      <c r="G47" s="1015">
        <f t="shared" si="3"/>
        <v>0</v>
      </c>
      <c r="H47" s="991">
        <f t="shared" si="4"/>
        <v>0</v>
      </c>
      <c r="I47" s="1025">
        <f t="shared" si="5"/>
        <v>0</v>
      </c>
      <c r="J47" s="991">
        <f t="shared" si="6"/>
        <v>0</v>
      </c>
      <c r="K47" s="991">
        <v>0</v>
      </c>
      <c r="L47" s="991">
        <f t="shared" si="7"/>
        <v>0</v>
      </c>
      <c r="M47" s="991">
        <f t="shared" si="8"/>
        <v>0</v>
      </c>
      <c r="N47" s="981">
        <f>'Table 5C1A-Madison Prep'!N47</f>
        <v>9087</v>
      </c>
      <c r="O47" s="958">
        <f t="shared" si="9"/>
        <v>0</v>
      </c>
      <c r="P47" s="1028">
        <f t="shared" si="10"/>
        <v>0</v>
      </c>
      <c r="Q47" s="958">
        <f t="shared" si="11"/>
        <v>0</v>
      </c>
      <c r="R47" s="958">
        <v>0</v>
      </c>
      <c r="S47" s="958">
        <f t="shared" si="12"/>
        <v>0</v>
      </c>
      <c r="T47" s="958">
        <f t="shared" si="13"/>
        <v>0</v>
      </c>
      <c r="U47" s="959">
        <f t="shared" si="14"/>
        <v>0</v>
      </c>
      <c r="V47" s="959">
        <f t="shared" si="14"/>
        <v>0</v>
      </c>
    </row>
    <row r="48" spans="1:22">
      <c r="A48" s="960">
        <v>42</v>
      </c>
      <c r="B48" s="961" t="s">
        <v>134</v>
      </c>
      <c r="C48" s="1081">
        <v>0</v>
      </c>
      <c r="D48" s="966">
        <f>'Table 3 Levels 1&amp;2'!AL49</f>
        <v>5087.4730460987803</v>
      </c>
      <c r="E48" s="1013">
        <f t="shared" si="2"/>
        <v>0</v>
      </c>
      <c r="F48" s="1013">
        <f>'Table 4 Level 3'!P47</f>
        <v>534.28</v>
      </c>
      <c r="G48" s="1013">
        <f t="shared" si="3"/>
        <v>0</v>
      </c>
      <c r="H48" s="989">
        <f t="shared" si="4"/>
        <v>0</v>
      </c>
      <c r="I48" s="1023">
        <f t="shared" si="5"/>
        <v>0</v>
      </c>
      <c r="J48" s="989">
        <f t="shared" si="6"/>
        <v>0</v>
      </c>
      <c r="K48" s="989">
        <v>0</v>
      </c>
      <c r="L48" s="989">
        <f t="shared" si="7"/>
        <v>0</v>
      </c>
      <c r="M48" s="989">
        <f t="shared" si="8"/>
        <v>0</v>
      </c>
      <c r="N48" s="981">
        <f>'Table 5C1A-Madison Prep'!N48</f>
        <v>2867</v>
      </c>
      <c r="O48" s="983">
        <f t="shared" si="9"/>
        <v>0</v>
      </c>
      <c r="P48" s="1029">
        <f t="shared" si="10"/>
        <v>0</v>
      </c>
      <c r="Q48" s="983">
        <f t="shared" si="11"/>
        <v>0</v>
      </c>
      <c r="R48" s="983">
        <v>0</v>
      </c>
      <c r="S48" s="983">
        <f t="shared" si="12"/>
        <v>0</v>
      </c>
      <c r="T48" s="983">
        <f t="shared" si="13"/>
        <v>0</v>
      </c>
      <c r="U48" s="984">
        <f t="shared" si="14"/>
        <v>0</v>
      </c>
      <c r="V48" s="984">
        <f t="shared" si="14"/>
        <v>0</v>
      </c>
    </row>
    <row r="49" spans="1:22">
      <c r="A49" s="960">
        <v>43</v>
      </c>
      <c r="B49" s="961" t="s">
        <v>135</v>
      </c>
      <c r="C49" s="1081">
        <v>0</v>
      </c>
      <c r="D49" s="966">
        <f>'Table 3 Levels 1&amp;2'!AL50</f>
        <v>4717.8414352725031</v>
      </c>
      <c r="E49" s="1013">
        <f t="shared" si="2"/>
        <v>0</v>
      </c>
      <c r="F49" s="1013">
        <f>'Table 4 Level 3'!P48</f>
        <v>574.6099999999999</v>
      </c>
      <c r="G49" s="1013">
        <f t="shared" si="3"/>
        <v>0</v>
      </c>
      <c r="H49" s="989">
        <f t="shared" si="4"/>
        <v>0</v>
      </c>
      <c r="I49" s="1023">
        <f t="shared" si="5"/>
        <v>0</v>
      </c>
      <c r="J49" s="989">
        <f t="shared" si="6"/>
        <v>0</v>
      </c>
      <c r="K49" s="989">
        <v>0</v>
      </c>
      <c r="L49" s="989">
        <f t="shared" si="7"/>
        <v>0</v>
      </c>
      <c r="M49" s="989">
        <f t="shared" si="8"/>
        <v>0</v>
      </c>
      <c r="N49" s="981">
        <f>'Table 5C1A-Madison Prep'!N49</f>
        <v>3587</v>
      </c>
      <c r="O49" s="983">
        <f t="shared" si="9"/>
        <v>0</v>
      </c>
      <c r="P49" s="1029">
        <f t="shared" si="10"/>
        <v>0</v>
      </c>
      <c r="Q49" s="983">
        <f t="shared" si="11"/>
        <v>0</v>
      </c>
      <c r="R49" s="983">
        <v>0</v>
      </c>
      <c r="S49" s="983">
        <f t="shared" si="12"/>
        <v>0</v>
      </c>
      <c r="T49" s="983">
        <f t="shared" si="13"/>
        <v>0</v>
      </c>
      <c r="U49" s="984">
        <f t="shared" si="14"/>
        <v>0</v>
      </c>
      <c r="V49" s="984">
        <f t="shared" si="14"/>
        <v>0</v>
      </c>
    </row>
    <row r="50" spans="1:22">
      <c r="A50" s="960">
        <v>44</v>
      </c>
      <c r="B50" s="961" t="s">
        <v>136</v>
      </c>
      <c r="C50" s="1081">
        <v>0</v>
      </c>
      <c r="D50" s="966">
        <f>'Table 3 Levels 1&amp;2'!AL51</f>
        <v>4696.6221228259064</v>
      </c>
      <c r="E50" s="1013">
        <f t="shared" si="2"/>
        <v>0</v>
      </c>
      <c r="F50" s="1013">
        <f>'Table 4 Level 3'!P49</f>
        <v>663.16000000000008</v>
      </c>
      <c r="G50" s="1013">
        <f t="shared" si="3"/>
        <v>0</v>
      </c>
      <c r="H50" s="989">
        <f t="shared" si="4"/>
        <v>0</v>
      </c>
      <c r="I50" s="1023">
        <f t="shared" si="5"/>
        <v>0</v>
      </c>
      <c r="J50" s="989">
        <f t="shared" si="6"/>
        <v>0</v>
      </c>
      <c r="K50" s="989">
        <v>0</v>
      </c>
      <c r="L50" s="989">
        <f t="shared" si="7"/>
        <v>0</v>
      </c>
      <c r="M50" s="989">
        <f t="shared" si="8"/>
        <v>0</v>
      </c>
      <c r="N50" s="981">
        <f>'Table 5C1A-Madison Prep'!N50</f>
        <v>4561</v>
      </c>
      <c r="O50" s="983">
        <f t="shared" si="9"/>
        <v>0</v>
      </c>
      <c r="P50" s="1029">
        <f t="shared" si="10"/>
        <v>0</v>
      </c>
      <c r="Q50" s="983">
        <f t="shared" si="11"/>
        <v>0</v>
      </c>
      <c r="R50" s="983">
        <v>0</v>
      </c>
      <c r="S50" s="983">
        <f t="shared" si="12"/>
        <v>0</v>
      </c>
      <c r="T50" s="983">
        <f t="shared" si="13"/>
        <v>0</v>
      </c>
      <c r="U50" s="984">
        <f t="shared" si="14"/>
        <v>0</v>
      </c>
      <c r="V50" s="984">
        <f t="shared" si="14"/>
        <v>0</v>
      </c>
    </row>
    <row r="51" spans="1:22">
      <c r="A51" s="963">
        <v>45</v>
      </c>
      <c r="B51" s="964" t="s">
        <v>137</v>
      </c>
      <c r="C51" s="1082">
        <v>0</v>
      </c>
      <c r="D51" s="967">
        <f>'Table 3 Levels 1&amp;2'!AL52</f>
        <v>2192.4914538932262</v>
      </c>
      <c r="E51" s="1014">
        <f t="shared" si="2"/>
        <v>0</v>
      </c>
      <c r="F51" s="1014">
        <f>'Table 4 Level 3'!P50</f>
        <v>753.96000000000015</v>
      </c>
      <c r="G51" s="1014">
        <f t="shared" si="3"/>
        <v>0</v>
      </c>
      <c r="H51" s="990">
        <f t="shared" si="4"/>
        <v>0</v>
      </c>
      <c r="I51" s="1024">
        <f t="shared" si="5"/>
        <v>0</v>
      </c>
      <c r="J51" s="990">
        <f t="shared" si="6"/>
        <v>0</v>
      </c>
      <c r="K51" s="990">
        <v>0</v>
      </c>
      <c r="L51" s="990">
        <f t="shared" si="7"/>
        <v>0</v>
      </c>
      <c r="M51" s="990">
        <f t="shared" si="8"/>
        <v>0</v>
      </c>
      <c r="N51" s="986">
        <f>'Table 5C1A-Madison Prep'!N51</f>
        <v>11287</v>
      </c>
      <c r="O51" s="987">
        <f t="shared" si="9"/>
        <v>0</v>
      </c>
      <c r="P51" s="1030">
        <f t="shared" si="10"/>
        <v>0</v>
      </c>
      <c r="Q51" s="987">
        <f t="shared" si="11"/>
        <v>0</v>
      </c>
      <c r="R51" s="987">
        <v>0</v>
      </c>
      <c r="S51" s="987">
        <f t="shared" si="12"/>
        <v>0</v>
      </c>
      <c r="T51" s="987">
        <f t="shared" si="13"/>
        <v>0</v>
      </c>
      <c r="U51" s="988">
        <f t="shared" si="14"/>
        <v>0</v>
      </c>
      <c r="V51" s="988">
        <f t="shared" si="14"/>
        <v>0</v>
      </c>
    </row>
    <row r="52" spans="1:22">
      <c r="A52" s="953">
        <v>46</v>
      </c>
      <c r="B52" s="954" t="s">
        <v>138</v>
      </c>
      <c r="C52" s="1083">
        <v>0</v>
      </c>
      <c r="D52" s="968">
        <f>'Table 3 Levels 1&amp;2'!AL53</f>
        <v>5644.6599115241634</v>
      </c>
      <c r="E52" s="1015">
        <f t="shared" si="2"/>
        <v>0</v>
      </c>
      <c r="F52" s="1015">
        <f>'Table 4 Level 3'!P51</f>
        <v>728.06</v>
      </c>
      <c r="G52" s="1015">
        <f t="shared" si="3"/>
        <v>0</v>
      </c>
      <c r="H52" s="991">
        <f t="shared" si="4"/>
        <v>0</v>
      </c>
      <c r="I52" s="1025">
        <f t="shared" si="5"/>
        <v>0</v>
      </c>
      <c r="J52" s="991">
        <f t="shared" si="6"/>
        <v>0</v>
      </c>
      <c r="K52" s="991">
        <v>0</v>
      </c>
      <c r="L52" s="991">
        <f t="shared" si="7"/>
        <v>0</v>
      </c>
      <c r="M52" s="991">
        <f t="shared" si="8"/>
        <v>0</v>
      </c>
      <c r="N52" s="981">
        <f>'Table 5C1A-Madison Prep'!N52</f>
        <v>2150</v>
      </c>
      <c r="O52" s="958">
        <f t="shared" si="9"/>
        <v>0</v>
      </c>
      <c r="P52" s="1028">
        <f t="shared" si="10"/>
        <v>0</v>
      </c>
      <c r="Q52" s="958">
        <f t="shared" si="11"/>
        <v>0</v>
      </c>
      <c r="R52" s="958">
        <v>0</v>
      </c>
      <c r="S52" s="958">
        <f t="shared" si="12"/>
        <v>0</v>
      </c>
      <c r="T52" s="958">
        <f t="shared" si="13"/>
        <v>0</v>
      </c>
      <c r="U52" s="959">
        <f t="shared" si="14"/>
        <v>0</v>
      </c>
      <c r="V52" s="959">
        <f t="shared" si="14"/>
        <v>0</v>
      </c>
    </row>
    <row r="53" spans="1:22">
      <c r="A53" s="960">
        <v>47</v>
      </c>
      <c r="B53" s="961" t="s">
        <v>139</v>
      </c>
      <c r="C53" s="1081">
        <v>0</v>
      </c>
      <c r="D53" s="966">
        <f>'Table 3 Levels 1&amp;2'!AL54</f>
        <v>2731.2444076222037</v>
      </c>
      <c r="E53" s="1013">
        <f t="shared" si="2"/>
        <v>0</v>
      </c>
      <c r="F53" s="1013">
        <f>'Table 4 Level 3'!P52</f>
        <v>910.76</v>
      </c>
      <c r="G53" s="1013">
        <f t="shared" si="3"/>
        <v>0</v>
      </c>
      <c r="H53" s="989">
        <f t="shared" si="4"/>
        <v>0</v>
      </c>
      <c r="I53" s="1023">
        <f t="shared" si="5"/>
        <v>0</v>
      </c>
      <c r="J53" s="989">
        <f t="shared" si="6"/>
        <v>0</v>
      </c>
      <c r="K53" s="989">
        <v>0</v>
      </c>
      <c r="L53" s="989">
        <f t="shared" si="7"/>
        <v>0</v>
      </c>
      <c r="M53" s="989">
        <f t="shared" si="8"/>
        <v>0</v>
      </c>
      <c r="N53" s="981">
        <f>'Table 5C1A-Madison Prep'!N53</f>
        <v>13280</v>
      </c>
      <c r="O53" s="983">
        <f t="shared" si="9"/>
        <v>0</v>
      </c>
      <c r="P53" s="1029">
        <f t="shared" si="10"/>
        <v>0</v>
      </c>
      <c r="Q53" s="983">
        <f t="shared" si="11"/>
        <v>0</v>
      </c>
      <c r="R53" s="983">
        <v>0</v>
      </c>
      <c r="S53" s="983">
        <f t="shared" si="12"/>
        <v>0</v>
      </c>
      <c r="T53" s="983">
        <f t="shared" si="13"/>
        <v>0</v>
      </c>
      <c r="U53" s="984">
        <f t="shared" si="14"/>
        <v>0</v>
      </c>
      <c r="V53" s="984">
        <f t="shared" si="14"/>
        <v>0</v>
      </c>
    </row>
    <row r="54" spans="1:22">
      <c r="A54" s="960">
        <v>48</v>
      </c>
      <c r="B54" s="961" t="s">
        <v>197</v>
      </c>
      <c r="C54" s="1081">
        <v>0</v>
      </c>
      <c r="D54" s="966">
        <f>'Table 3 Levels 1&amp;2'!AL55</f>
        <v>4272.723323083942</v>
      </c>
      <c r="E54" s="1013">
        <f t="shared" si="2"/>
        <v>0</v>
      </c>
      <c r="F54" s="1013">
        <f>'Table 4 Level 3'!P53</f>
        <v>871.07</v>
      </c>
      <c r="G54" s="1013">
        <f t="shared" si="3"/>
        <v>0</v>
      </c>
      <c r="H54" s="989">
        <f t="shared" si="4"/>
        <v>0</v>
      </c>
      <c r="I54" s="1023">
        <f t="shared" si="5"/>
        <v>0</v>
      </c>
      <c r="J54" s="989">
        <f t="shared" si="6"/>
        <v>0</v>
      </c>
      <c r="K54" s="989">
        <v>0</v>
      </c>
      <c r="L54" s="989">
        <f t="shared" si="7"/>
        <v>0</v>
      </c>
      <c r="M54" s="989">
        <f t="shared" si="8"/>
        <v>0</v>
      </c>
      <c r="N54" s="981">
        <f>'Table 5C1A-Madison Prep'!N54</f>
        <v>6453</v>
      </c>
      <c r="O54" s="983">
        <f t="shared" si="9"/>
        <v>0</v>
      </c>
      <c r="P54" s="1029">
        <f t="shared" si="10"/>
        <v>0</v>
      </c>
      <c r="Q54" s="983">
        <f t="shared" si="11"/>
        <v>0</v>
      </c>
      <c r="R54" s="983">
        <v>0</v>
      </c>
      <c r="S54" s="983">
        <f t="shared" si="12"/>
        <v>0</v>
      </c>
      <c r="T54" s="983">
        <f t="shared" si="13"/>
        <v>0</v>
      </c>
      <c r="U54" s="984">
        <f t="shared" si="14"/>
        <v>0</v>
      </c>
      <c r="V54" s="984">
        <f t="shared" si="14"/>
        <v>0</v>
      </c>
    </row>
    <row r="55" spans="1:22">
      <c r="A55" s="960">
        <v>49</v>
      </c>
      <c r="B55" s="961" t="s">
        <v>140</v>
      </c>
      <c r="C55" s="1081">
        <v>0</v>
      </c>
      <c r="D55" s="966">
        <f>'Table 3 Levels 1&amp;2'!AL56</f>
        <v>4836.7092570332552</v>
      </c>
      <c r="E55" s="1013">
        <f t="shared" si="2"/>
        <v>0</v>
      </c>
      <c r="F55" s="1013">
        <f>'Table 4 Level 3'!P54</f>
        <v>574.43999999999994</v>
      </c>
      <c r="G55" s="1013">
        <f t="shared" si="3"/>
        <v>0</v>
      </c>
      <c r="H55" s="989">
        <f t="shared" si="4"/>
        <v>0</v>
      </c>
      <c r="I55" s="1023">
        <f t="shared" si="5"/>
        <v>0</v>
      </c>
      <c r="J55" s="989">
        <f t="shared" si="6"/>
        <v>0</v>
      </c>
      <c r="K55" s="989">
        <v>0</v>
      </c>
      <c r="L55" s="989">
        <f t="shared" si="7"/>
        <v>0</v>
      </c>
      <c r="M55" s="989">
        <f t="shared" si="8"/>
        <v>0</v>
      </c>
      <c r="N55" s="981">
        <f>'Table 5C1A-Madison Prep'!N55</f>
        <v>2287</v>
      </c>
      <c r="O55" s="983">
        <f t="shared" si="9"/>
        <v>0</v>
      </c>
      <c r="P55" s="1029">
        <f t="shared" si="10"/>
        <v>0</v>
      </c>
      <c r="Q55" s="983">
        <f t="shared" si="11"/>
        <v>0</v>
      </c>
      <c r="R55" s="983">
        <v>0</v>
      </c>
      <c r="S55" s="983">
        <f t="shared" si="12"/>
        <v>0</v>
      </c>
      <c r="T55" s="983">
        <f t="shared" si="13"/>
        <v>0</v>
      </c>
      <c r="U55" s="984">
        <f t="shared" si="14"/>
        <v>0</v>
      </c>
      <c r="V55" s="984">
        <f t="shared" si="14"/>
        <v>0</v>
      </c>
    </row>
    <row r="56" spans="1:22">
      <c r="A56" s="963">
        <v>50</v>
      </c>
      <c r="B56" s="964" t="s">
        <v>141</v>
      </c>
      <c r="C56" s="1082">
        <v>0</v>
      </c>
      <c r="D56" s="967">
        <f>'Table 3 Levels 1&amp;2'!AL57</f>
        <v>5032.6862895017111</v>
      </c>
      <c r="E56" s="1014">
        <f t="shared" si="2"/>
        <v>0</v>
      </c>
      <c r="F56" s="1014">
        <f>'Table 4 Level 3'!P55</f>
        <v>634.46</v>
      </c>
      <c r="G56" s="1014">
        <f t="shared" si="3"/>
        <v>0</v>
      </c>
      <c r="H56" s="990">
        <f t="shared" si="4"/>
        <v>0</v>
      </c>
      <c r="I56" s="1024">
        <f t="shared" si="5"/>
        <v>0</v>
      </c>
      <c r="J56" s="990">
        <f t="shared" si="6"/>
        <v>0</v>
      </c>
      <c r="K56" s="990">
        <v>0</v>
      </c>
      <c r="L56" s="990">
        <f t="shared" si="7"/>
        <v>0</v>
      </c>
      <c r="M56" s="990">
        <f t="shared" si="8"/>
        <v>0</v>
      </c>
      <c r="N56" s="986">
        <f>'Table 5C1A-Madison Prep'!N56</f>
        <v>2801</v>
      </c>
      <c r="O56" s="987">
        <f t="shared" si="9"/>
        <v>0</v>
      </c>
      <c r="P56" s="1030">
        <f t="shared" si="10"/>
        <v>0</v>
      </c>
      <c r="Q56" s="987">
        <f t="shared" si="11"/>
        <v>0</v>
      </c>
      <c r="R56" s="987">
        <v>0</v>
      </c>
      <c r="S56" s="987">
        <f t="shared" si="12"/>
        <v>0</v>
      </c>
      <c r="T56" s="987">
        <f t="shared" si="13"/>
        <v>0</v>
      </c>
      <c r="U56" s="988">
        <f t="shared" si="14"/>
        <v>0</v>
      </c>
      <c r="V56" s="988">
        <f t="shared" si="14"/>
        <v>0</v>
      </c>
    </row>
    <row r="57" spans="1:22">
      <c r="A57" s="953">
        <v>51</v>
      </c>
      <c r="B57" s="954" t="s">
        <v>142</v>
      </c>
      <c r="C57" s="1083">
        <v>0</v>
      </c>
      <c r="D57" s="968">
        <f>'Table 3 Levels 1&amp;2'!AL58</f>
        <v>4246.0339872793602</v>
      </c>
      <c r="E57" s="1015">
        <f t="shared" si="2"/>
        <v>0</v>
      </c>
      <c r="F57" s="1015">
        <f>'Table 4 Level 3'!P56</f>
        <v>706.66</v>
      </c>
      <c r="G57" s="1015">
        <f t="shared" si="3"/>
        <v>0</v>
      </c>
      <c r="H57" s="991">
        <f t="shared" si="4"/>
        <v>0</v>
      </c>
      <c r="I57" s="1025">
        <f t="shared" si="5"/>
        <v>0</v>
      </c>
      <c r="J57" s="991">
        <f t="shared" si="6"/>
        <v>0</v>
      </c>
      <c r="K57" s="991">
        <v>0</v>
      </c>
      <c r="L57" s="991">
        <f t="shared" si="7"/>
        <v>0</v>
      </c>
      <c r="M57" s="991">
        <f t="shared" si="8"/>
        <v>0</v>
      </c>
      <c r="N57" s="981">
        <f>'Table 5C1A-Madison Prep'!N57</f>
        <v>4215</v>
      </c>
      <c r="O57" s="958">
        <f t="shared" si="9"/>
        <v>0</v>
      </c>
      <c r="P57" s="1028">
        <f t="shared" si="10"/>
        <v>0</v>
      </c>
      <c r="Q57" s="958">
        <f t="shared" si="11"/>
        <v>0</v>
      </c>
      <c r="R57" s="958">
        <v>0</v>
      </c>
      <c r="S57" s="958">
        <f t="shared" si="12"/>
        <v>0</v>
      </c>
      <c r="T57" s="958">
        <f t="shared" si="13"/>
        <v>0</v>
      </c>
      <c r="U57" s="959">
        <f t="shared" si="14"/>
        <v>0</v>
      </c>
      <c r="V57" s="959">
        <f t="shared" si="14"/>
        <v>0</v>
      </c>
    </row>
    <row r="58" spans="1:22">
      <c r="A58" s="960">
        <v>52</v>
      </c>
      <c r="B58" s="961" t="s">
        <v>143</v>
      </c>
      <c r="C58" s="1081">
        <v>0</v>
      </c>
      <c r="D58" s="966">
        <f>'Table 3 Levels 1&amp;2'!AL59</f>
        <v>5013.4438050113249</v>
      </c>
      <c r="E58" s="1013">
        <f t="shared" si="2"/>
        <v>0</v>
      </c>
      <c r="F58" s="1013">
        <f>'Table 4 Level 3'!P57</f>
        <v>658.37</v>
      </c>
      <c r="G58" s="1013">
        <f t="shared" si="3"/>
        <v>0</v>
      </c>
      <c r="H58" s="989">
        <f t="shared" si="4"/>
        <v>0</v>
      </c>
      <c r="I58" s="1023">
        <f t="shared" si="5"/>
        <v>0</v>
      </c>
      <c r="J58" s="989">
        <f t="shared" si="6"/>
        <v>0</v>
      </c>
      <c r="K58" s="989">
        <v>0</v>
      </c>
      <c r="L58" s="989">
        <f t="shared" si="7"/>
        <v>0</v>
      </c>
      <c r="M58" s="989">
        <f t="shared" si="8"/>
        <v>0</v>
      </c>
      <c r="N58" s="981">
        <f>'Table 5C1A-Madison Prep'!N58</f>
        <v>4889</v>
      </c>
      <c r="O58" s="983">
        <f t="shared" si="9"/>
        <v>0</v>
      </c>
      <c r="P58" s="1029">
        <f t="shared" si="10"/>
        <v>0</v>
      </c>
      <c r="Q58" s="983">
        <f t="shared" si="11"/>
        <v>0</v>
      </c>
      <c r="R58" s="983">
        <v>0</v>
      </c>
      <c r="S58" s="983">
        <f t="shared" si="12"/>
        <v>0</v>
      </c>
      <c r="T58" s="983">
        <f t="shared" si="13"/>
        <v>0</v>
      </c>
      <c r="U58" s="984">
        <f t="shared" si="14"/>
        <v>0</v>
      </c>
      <c r="V58" s="984">
        <f t="shared" si="14"/>
        <v>0</v>
      </c>
    </row>
    <row r="59" spans="1:22">
      <c r="A59" s="960">
        <v>53</v>
      </c>
      <c r="B59" s="961" t="s">
        <v>144</v>
      </c>
      <c r="C59" s="1081">
        <v>0</v>
      </c>
      <c r="D59" s="966">
        <f>'Table 3 Levels 1&amp;2'!AL60</f>
        <v>4775.5877635581091</v>
      </c>
      <c r="E59" s="1013">
        <f t="shared" si="2"/>
        <v>0</v>
      </c>
      <c r="F59" s="1013">
        <f>'Table 4 Level 3'!P58</f>
        <v>689.74</v>
      </c>
      <c r="G59" s="1013">
        <f t="shared" si="3"/>
        <v>0</v>
      </c>
      <c r="H59" s="989">
        <f t="shared" si="4"/>
        <v>0</v>
      </c>
      <c r="I59" s="1023">
        <f t="shared" si="5"/>
        <v>0</v>
      </c>
      <c r="J59" s="989">
        <f t="shared" si="6"/>
        <v>0</v>
      </c>
      <c r="K59" s="989">
        <v>0</v>
      </c>
      <c r="L59" s="989">
        <f t="shared" si="7"/>
        <v>0</v>
      </c>
      <c r="M59" s="989">
        <f t="shared" si="8"/>
        <v>0</v>
      </c>
      <c r="N59" s="981">
        <f>'Table 5C1A-Madison Prep'!N59</f>
        <v>2119</v>
      </c>
      <c r="O59" s="983">
        <f t="shared" si="9"/>
        <v>0</v>
      </c>
      <c r="P59" s="1029">
        <f t="shared" si="10"/>
        <v>0</v>
      </c>
      <c r="Q59" s="983">
        <f t="shared" si="11"/>
        <v>0</v>
      </c>
      <c r="R59" s="983">
        <v>0</v>
      </c>
      <c r="S59" s="983">
        <f t="shared" si="12"/>
        <v>0</v>
      </c>
      <c r="T59" s="983">
        <f t="shared" si="13"/>
        <v>0</v>
      </c>
      <c r="U59" s="984">
        <f t="shared" si="14"/>
        <v>0</v>
      </c>
      <c r="V59" s="984">
        <f t="shared" si="14"/>
        <v>0</v>
      </c>
    </row>
    <row r="60" spans="1:22">
      <c r="A60" s="960">
        <v>54</v>
      </c>
      <c r="B60" s="961" t="s">
        <v>145</v>
      </c>
      <c r="C60" s="1081">
        <v>0</v>
      </c>
      <c r="D60" s="966">
        <f>'Table 3 Levels 1&amp;2'!AL61</f>
        <v>5951.8009386275662</v>
      </c>
      <c r="E60" s="1013">
        <f t="shared" si="2"/>
        <v>0</v>
      </c>
      <c r="F60" s="1013">
        <f>'Table 4 Level 3'!P59</f>
        <v>951.45</v>
      </c>
      <c r="G60" s="1013">
        <f t="shared" si="3"/>
        <v>0</v>
      </c>
      <c r="H60" s="989">
        <f t="shared" si="4"/>
        <v>0</v>
      </c>
      <c r="I60" s="1023">
        <f t="shared" si="5"/>
        <v>0</v>
      </c>
      <c r="J60" s="989">
        <f t="shared" si="6"/>
        <v>0</v>
      </c>
      <c r="K60" s="989">
        <v>0</v>
      </c>
      <c r="L60" s="989">
        <f t="shared" si="7"/>
        <v>0</v>
      </c>
      <c r="M60" s="989">
        <f t="shared" si="8"/>
        <v>0</v>
      </c>
      <c r="N60" s="981">
        <f>'Table 5C1A-Madison Prep'!N60</f>
        <v>3690</v>
      </c>
      <c r="O60" s="983">
        <f t="shared" si="9"/>
        <v>0</v>
      </c>
      <c r="P60" s="1029">
        <f t="shared" si="10"/>
        <v>0</v>
      </c>
      <c r="Q60" s="983">
        <f t="shared" si="11"/>
        <v>0</v>
      </c>
      <c r="R60" s="983">
        <v>0</v>
      </c>
      <c r="S60" s="983">
        <f t="shared" si="12"/>
        <v>0</v>
      </c>
      <c r="T60" s="983">
        <f t="shared" si="13"/>
        <v>0</v>
      </c>
      <c r="U60" s="984">
        <f t="shared" si="14"/>
        <v>0</v>
      </c>
      <c r="V60" s="984">
        <f t="shared" si="14"/>
        <v>0</v>
      </c>
    </row>
    <row r="61" spans="1:22">
      <c r="A61" s="963">
        <v>55</v>
      </c>
      <c r="B61" s="964" t="s">
        <v>146</v>
      </c>
      <c r="C61" s="1082">
        <v>0</v>
      </c>
      <c r="D61" s="967">
        <f>'Table 3 Levels 1&amp;2'!AL62</f>
        <v>4171.0434735233157</v>
      </c>
      <c r="E61" s="1014">
        <f t="shared" si="2"/>
        <v>0</v>
      </c>
      <c r="F61" s="1014">
        <f>'Table 4 Level 3'!P60</f>
        <v>795.14</v>
      </c>
      <c r="G61" s="1014">
        <f t="shared" si="3"/>
        <v>0</v>
      </c>
      <c r="H61" s="990">
        <f t="shared" si="4"/>
        <v>0</v>
      </c>
      <c r="I61" s="1024">
        <f t="shared" si="5"/>
        <v>0</v>
      </c>
      <c r="J61" s="990">
        <f t="shared" si="6"/>
        <v>0</v>
      </c>
      <c r="K61" s="990">
        <v>0</v>
      </c>
      <c r="L61" s="990">
        <f t="shared" si="7"/>
        <v>0</v>
      </c>
      <c r="M61" s="990">
        <f t="shared" si="8"/>
        <v>0</v>
      </c>
      <c r="N61" s="986">
        <f>'Table 5C1A-Madison Prep'!N61</f>
        <v>3157</v>
      </c>
      <c r="O61" s="987">
        <f t="shared" si="9"/>
        <v>0</v>
      </c>
      <c r="P61" s="1030">
        <f t="shared" si="10"/>
        <v>0</v>
      </c>
      <c r="Q61" s="987">
        <f t="shared" si="11"/>
        <v>0</v>
      </c>
      <c r="R61" s="987">
        <v>0</v>
      </c>
      <c r="S61" s="987">
        <f t="shared" si="12"/>
        <v>0</v>
      </c>
      <c r="T61" s="987">
        <f t="shared" si="13"/>
        <v>0</v>
      </c>
      <c r="U61" s="988">
        <f t="shared" si="14"/>
        <v>0</v>
      </c>
      <c r="V61" s="988">
        <f t="shared" si="14"/>
        <v>0</v>
      </c>
    </row>
    <row r="62" spans="1:22">
      <c r="A62" s="953">
        <v>56</v>
      </c>
      <c r="B62" s="954" t="s">
        <v>147</v>
      </c>
      <c r="C62" s="1083">
        <v>0</v>
      </c>
      <c r="D62" s="968">
        <f>'Table 3 Levels 1&amp;2'!AL63</f>
        <v>4968.593189672727</v>
      </c>
      <c r="E62" s="1015">
        <f t="shared" si="2"/>
        <v>0</v>
      </c>
      <c r="F62" s="1015">
        <f>'Table 4 Level 3'!P61</f>
        <v>614.66000000000008</v>
      </c>
      <c r="G62" s="1015">
        <f t="shared" si="3"/>
        <v>0</v>
      </c>
      <c r="H62" s="991">
        <f t="shared" si="4"/>
        <v>0</v>
      </c>
      <c r="I62" s="1025">
        <f t="shared" si="5"/>
        <v>0</v>
      </c>
      <c r="J62" s="991">
        <f t="shared" si="6"/>
        <v>0</v>
      </c>
      <c r="K62" s="991">
        <v>0</v>
      </c>
      <c r="L62" s="991">
        <f t="shared" si="7"/>
        <v>0</v>
      </c>
      <c r="M62" s="991">
        <f t="shared" si="8"/>
        <v>0</v>
      </c>
      <c r="N62" s="981">
        <f>'Table 5C1A-Madison Prep'!N62</f>
        <v>2779</v>
      </c>
      <c r="O62" s="958">
        <f t="shared" si="9"/>
        <v>0</v>
      </c>
      <c r="P62" s="1028">
        <f t="shared" si="10"/>
        <v>0</v>
      </c>
      <c r="Q62" s="958">
        <f t="shared" si="11"/>
        <v>0</v>
      </c>
      <c r="R62" s="958">
        <v>0</v>
      </c>
      <c r="S62" s="958">
        <f t="shared" si="12"/>
        <v>0</v>
      </c>
      <c r="T62" s="958">
        <f t="shared" si="13"/>
        <v>0</v>
      </c>
      <c r="U62" s="959">
        <f t="shared" si="14"/>
        <v>0</v>
      </c>
      <c r="V62" s="959">
        <f t="shared" si="14"/>
        <v>0</v>
      </c>
    </row>
    <row r="63" spans="1:22">
      <c r="A63" s="960">
        <v>57</v>
      </c>
      <c r="B63" s="961" t="s">
        <v>148</v>
      </c>
      <c r="C63" s="1081">
        <v>0</v>
      </c>
      <c r="D63" s="966">
        <f>'Table 3 Levels 1&amp;2'!AL64</f>
        <v>4485.7073020218859</v>
      </c>
      <c r="E63" s="1013">
        <f t="shared" si="2"/>
        <v>0</v>
      </c>
      <c r="F63" s="1013">
        <f>'Table 4 Level 3'!P62</f>
        <v>764.51</v>
      </c>
      <c r="G63" s="1013">
        <f t="shared" si="3"/>
        <v>0</v>
      </c>
      <c r="H63" s="989">
        <f t="shared" si="4"/>
        <v>0</v>
      </c>
      <c r="I63" s="1023">
        <f t="shared" si="5"/>
        <v>0</v>
      </c>
      <c r="J63" s="989">
        <f t="shared" si="6"/>
        <v>0</v>
      </c>
      <c r="K63" s="989">
        <v>0</v>
      </c>
      <c r="L63" s="989">
        <f t="shared" si="7"/>
        <v>0</v>
      </c>
      <c r="M63" s="989">
        <f t="shared" si="8"/>
        <v>0</v>
      </c>
      <c r="N63" s="981">
        <f>'Table 5C1A-Madison Prep'!N63</f>
        <v>3107</v>
      </c>
      <c r="O63" s="983">
        <f t="shared" si="9"/>
        <v>0</v>
      </c>
      <c r="P63" s="1029">
        <f t="shared" si="10"/>
        <v>0</v>
      </c>
      <c r="Q63" s="983">
        <f t="shared" si="11"/>
        <v>0</v>
      </c>
      <c r="R63" s="983">
        <v>0</v>
      </c>
      <c r="S63" s="983">
        <f t="shared" si="12"/>
        <v>0</v>
      </c>
      <c r="T63" s="983">
        <f t="shared" si="13"/>
        <v>0</v>
      </c>
      <c r="U63" s="984">
        <f t="shared" si="14"/>
        <v>0</v>
      </c>
      <c r="V63" s="984">
        <f t="shared" si="14"/>
        <v>0</v>
      </c>
    </row>
    <row r="64" spans="1:22">
      <c r="A64" s="960">
        <v>58</v>
      </c>
      <c r="B64" s="961" t="s">
        <v>149</v>
      </c>
      <c r="C64" s="1081">
        <v>0</v>
      </c>
      <c r="D64" s="966">
        <f>'Table 3 Levels 1&amp;2'!AL65</f>
        <v>5457.8662803476354</v>
      </c>
      <c r="E64" s="1013">
        <f t="shared" si="2"/>
        <v>0</v>
      </c>
      <c r="F64" s="1013">
        <f>'Table 4 Level 3'!P63</f>
        <v>697.04</v>
      </c>
      <c r="G64" s="1013">
        <f t="shared" si="3"/>
        <v>0</v>
      </c>
      <c r="H64" s="989">
        <f t="shared" si="4"/>
        <v>0</v>
      </c>
      <c r="I64" s="1023">
        <f t="shared" si="5"/>
        <v>0</v>
      </c>
      <c r="J64" s="989">
        <f t="shared" si="6"/>
        <v>0</v>
      </c>
      <c r="K64" s="989">
        <v>0</v>
      </c>
      <c r="L64" s="989">
        <f t="shared" si="7"/>
        <v>0</v>
      </c>
      <c r="M64" s="989">
        <f t="shared" si="8"/>
        <v>0</v>
      </c>
      <c r="N64" s="981">
        <f>'Table 5C1A-Madison Prep'!N64</f>
        <v>2105</v>
      </c>
      <c r="O64" s="983">
        <f t="shared" si="9"/>
        <v>0</v>
      </c>
      <c r="P64" s="1029">
        <f t="shared" si="10"/>
        <v>0</v>
      </c>
      <c r="Q64" s="983">
        <f t="shared" si="11"/>
        <v>0</v>
      </c>
      <c r="R64" s="983">
        <v>0</v>
      </c>
      <c r="S64" s="983">
        <f t="shared" si="12"/>
        <v>0</v>
      </c>
      <c r="T64" s="983">
        <f t="shared" si="13"/>
        <v>0</v>
      </c>
      <c r="U64" s="984">
        <f t="shared" si="14"/>
        <v>0</v>
      </c>
      <c r="V64" s="984">
        <f t="shared" si="14"/>
        <v>0</v>
      </c>
    </row>
    <row r="65" spans="1:22">
      <c r="A65" s="960">
        <v>59</v>
      </c>
      <c r="B65" s="961" t="s">
        <v>150</v>
      </c>
      <c r="C65" s="1081">
        <v>115</v>
      </c>
      <c r="D65" s="966">
        <f>'Table 3 Levels 1&amp;2'!AL66</f>
        <v>6274.2786338006481</v>
      </c>
      <c r="E65" s="1013">
        <f t="shared" si="2"/>
        <v>721542.04288707452</v>
      </c>
      <c r="F65" s="1013">
        <f>'Table 4 Level 3'!P64</f>
        <v>689.52</v>
      </c>
      <c r="G65" s="1013">
        <f t="shared" si="3"/>
        <v>79294.8</v>
      </c>
      <c r="H65" s="989">
        <f t="shared" si="4"/>
        <v>800836.84288707457</v>
      </c>
      <c r="I65" s="1023">
        <f t="shared" si="5"/>
        <v>-2002.0921072176864</v>
      </c>
      <c r="J65" s="989">
        <f t="shared" si="6"/>
        <v>798834.75077985693</v>
      </c>
      <c r="K65" s="989">
        <v>0</v>
      </c>
      <c r="L65" s="989">
        <f t="shared" si="7"/>
        <v>798834.75077985693</v>
      </c>
      <c r="M65" s="989">
        <f t="shared" si="8"/>
        <v>66569.562564988082</v>
      </c>
      <c r="N65" s="981">
        <f>'Table 5C1A-Madison Prep'!N65</f>
        <v>1510</v>
      </c>
      <c r="O65" s="983">
        <f t="shared" si="9"/>
        <v>173650</v>
      </c>
      <c r="P65" s="1029">
        <f t="shared" si="10"/>
        <v>-434.125</v>
      </c>
      <c r="Q65" s="983">
        <f t="shared" si="11"/>
        <v>173215.875</v>
      </c>
      <c r="R65" s="983">
        <v>0</v>
      </c>
      <c r="S65" s="983">
        <f t="shared" si="12"/>
        <v>173215.875</v>
      </c>
      <c r="T65" s="983">
        <f t="shared" si="13"/>
        <v>14434.65625</v>
      </c>
      <c r="U65" s="984">
        <f t="shared" si="14"/>
        <v>972050.62577985693</v>
      </c>
      <c r="V65" s="984">
        <f t="shared" si="14"/>
        <v>81004.218814988082</v>
      </c>
    </row>
    <row r="66" spans="1:22">
      <c r="A66" s="963">
        <v>60</v>
      </c>
      <c r="B66" s="964" t="s">
        <v>151</v>
      </c>
      <c r="C66" s="1082">
        <v>0</v>
      </c>
      <c r="D66" s="967">
        <f>'Table 3 Levels 1&amp;2'!AL67</f>
        <v>4940.9166775610411</v>
      </c>
      <c r="E66" s="1014">
        <f t="shared" si="2"/>
        <v>0</v>
      </c>
      <c r="F66" s="1014">
        <f>'Table 4 Level 3'!P65</f>
        <v>594.04</v>
      </c>
      <c r="G66" s="1014">
        <f t="shared" si="3"/>
        <v>0</v>
      </c>
      <c r="H66" s="990">
        <f t="shared" si="4"/>
        <v>0</v>
      </c>
      <c r="I66" s="1024">
        <f t="shared" si="5"/>
        <v>0</v>
      </c>
      <c r="J66" s="990">
        <f t="shared" si="6"/>
        <v>0</v>
      </c>
      <c r="K66" s="990">
        <v>0</v>
      </c>
      <c r="L66" s="990">
        <f t="shared" si="7"/>
        <v>0</v>
      </c>
      <c r="M66" s="990">
        <f t="shared" si="8"/>
        <v>0</v>
      </c>
      <c r="N66" s="986">
        <f>'Table 5C1A-Madison Prep'!N66</f>
        <v>3793</v>
      </c>
      <c r="O66" s="987">
        <f t="shared" si="9"/>
        <v>0</v>
      </c>
      <c r="P66" s="1030">
        <f t="shared" si="10"/>
        <v>0</v>
      </c>
      <c r="Q66" s="987">
        <f t="shared" si="11"/>
        <v>0</v>
      </c>
      <c r="R66" s="987">
        <v>0</v>
      </c>
      <c r="S66" s="987">
        <f t="shared" si="12"/>
        <v>0</v>
      </c>
      <c r="T66" s="987">
        <f t="shared" si="13"/>
        <v>0</v>
      </c>
      <c r="U66" s="988">
        <f t="shared" si="14"/>
        <v>0</v>
      </c>
      <c r="V66" s="988">
        <f t="shared" si="14"/>
        <v>0</v>
      </c>
    </row>
    <row r="67" spans="1:22">
      <c r="A67" s="953">
        <v>61</v>
      </c>
      <c r="B67" s="954" t="s">
        <v>152</v>
      </c>
      <c r="C67" s="1083">
        <v>0</v>
      </c>
      <c r="D67" s="968">
        <f>'Table 3 Levels 1&amp;2'!AL68</f>
        <v>2908.0344869339228</v>
      </c>
      <c r="E67" s="1015">
        <f t="shared" si="2"/>
        <v>0</v>
      </c>
      <c r="F67" s="1015">
        <f>'Table 4 Level 3'!P66</f>
        <v>833.70999999999992</v>
      </c>
      <c r="G67" s="1015">
        <f t="shared" si="3"/>
        <v>0</v>
      </c>
      <c r="H67" s="991">
        <f t="shared" si="4"/>
        <v>0</v>
      </c>
      <c r="I67" s="1025">
        <f t="shared" si="5"/>
        <v>0</v>
      </c>
      <c r="J67" s="991">
        <f t="shared" si="6"/>
        <v>0</v>
      </c>
      <c r="K67" s="991">
        <v>0</v>
      </c>
      <c r="L67" s="991">
        <f t="shared" si="7"/>
        <v>0</v>
      </c>
      <c r="M67" s="991">
        <f t="shared" si="8"/>
        <v>0</v>
      </c>
      <c r="N67" s="981">
        <f>'Table 5C1A-Madison Prep'!N67</f>
        <v>6570</v>
      </c>
      <c r="O67" s="958">
        <f t="shared" si="9"/>
        <v>0</v>
      </c>
      <c r="P67" s="1028">
        <f t="shared" si="10"/>
        <v>0</v>
      </c>
      <c r="Q67" s="958">
        <f t="shared" si="11"/>
        <v>0</v>
      </c>
      <c r="R67" s="958">
        <v>0</v>
      </c>
      <c r="S67" s="958">
        <f t="shared" si="12"/>
        <v>0</v>
      </c>
      <c r="T67" s="958">
        <f t="shared" si="13"/>
        <v>0</v>
      </c>
      <c r="U67" s="959">
        <f t="shared" si="14"/>
        <v>0</v>
      </c>
      <c r="V67" s="959">
        <f t="shared" si="14"/>
        <v>0</v>
      </c>
    </row>
    <row r="68" spans="1:22">
      <c r="A68" s="960">
        <v>62</v>
      </c>
      <c r="B68" s="961" t="s">
        <v>153</v>
      </c>
      <c r="C68" s="1081">
        <v>0</v>
      </c>
      <c r="D68" s="966">
        <f>'Table 3 Levels 1&amp;2'!AL69</f>
        <v>5652.1730736722093</v>
      </c>
      <c r="E68" s="1013">
        <f t="shared" si="2"/>
        <v>0</v>
      </c>
      <c r="F68" s="1013">
        <f>'Table 4 Level 3'!P67</f>
        <v>516.08000000000004</v>
      </c>
      <c r="G68" s="1013">
        <f t="shared" si="3"/>
        <v>0</v>
      </c>
      <c r="H68" s="989">
        <f t="shared" si="4"/>
        <v>0</v>
      </c>
      <c r="I68" s="1023">
        <f t="shared" si="5"/>
        <v>0</v>
      </c>
      <c r="J68" s="989">
        <f t="shared" si="6"/>
        <v>0</v>
      </c>
      <c r="K68" s="989">
        <v>0</v>
      </c>
      <c r="L68" s="989">
        <f t="shared" si="7"/>
        <v>0</v>
      </c>
      <c r="M68" s="989">
        <f t="shared" si="8"/>
        <v>0</v>
      </c>
      <c r="N68" s="981">
        <f>'Table 5C1A-Madison Prep'!N68</f>
        <v>1934</v>
      </c>
      <c r="O68" s="983">
        <f t="shared" si="9"/>
        <v>0</v>
      </c>
      <c r="P68" s="1029">
        <f t="shared" si="10"/>
        <v>0</v>
      </c>
      <c r="Q68" s="983">
        <f t="shared" si="11"/>
        <v>0</v>
      </c>
      <c r="R68" s="983">
        <v>0</v>
      </c>
      <c r="S68" s="983">
        <f t="shared" si="12"/>
        <v>0</v>
      </c>
      <c r="T68" s="983">
        <f t="shared" si="13"/>
        <v>0</v>
      </c>
      <c r="U68" s="984">
        <f t="shared" si="14"/>
        <v>0</v>
      </c>
      <c r="V68" s="984">
        <f t="shared" si="14"/>
        <v>0</v>
      </c>
    </row>
    <row r="69" spans="1:22">
      <c r="A69" s="960">
        <v>63</v>
      </c>
      <c r="B69" s="961" t="s">
        <v>154</v>
      </c>
      <c r="C69" s="1081">
        <v>0</v>
      </c>
      <c r="D69" s="966">
        <f>'Table 3 Levels 1&amp;2'!AL70</f>
        <v>4362.300753810403</v>
      </c>
      <c r="E69" s="1013">
        <f t="shared" si="2"/>
        <v>0</v>
      </c>
      <c r="F69" s="1013">
        <f>'Table 4 Level 3'!P68</f>
        <v>756.79</v>
      </c>
      <c r="G69" s="1013">
        <f t="shared" si="3"/>
        <v>0</v>
      </c>
      <c r="H69" s="989">
        <f t="shared" si="4"/>
        <v>0</v>
      </c>
      <c r="I69" s="1023">
        <f t="shared" si="5"/>
        <v>0</v>
      </c>
      <c r="J69" s="989">
        <f t="shared" si="6"/>
        <v>0</v>
      </c>
      <c r="K69" s="989">
        <v>0</v>
      </c>
      <c r="L69" s="989">
        <f t="shared" si="7"/>
        <v>0</v>
      </c>
      <c r="M69" s="989">
        <f t="shared" si="8"/>
        <v>0</v>
      </c>
      <c r="N69" s="981">
        <f>'Table 5C1A-Madison Prep'!N69</f>
        <v>6787</v>
      </c>
      <c r="O69" s="983">
        <f t="shared" si="9"/>
        <v>0</v>
      </c>
      <c r="P69" s="1029">
        <f t="shared" si="10"/>
        <v>0</v>
      </c>
      <c r="Q69" s="983">
        <f t="shared" si="11"/>
        <v>0</v>
      </c>
      <c r="R69" s="983">
        <v>0</v>
      </c>
      <c r="S69" s="983">
        <f t="shared" si="12"/>
        <v>0</v>
      </c>
      <c r="T69" s="983">
        <f t="shared" si="13"/>
        <v>0</v>
      </c>
      <c r="U69" s="984">
        <f t="shared" si="14"/>
        <v>0</v>
      </c>
      <c r="V69" s="984">
        <f t="shared" si="14"/>
        <v>0</v>
      </c>
    </row>
    <row r="70" spans="1:22">
      <c r="A70" s="960">
        <v>64</v>
      </c>
      <c r="B70" s="961" t="s">
        <v>155</v>
      </c>
      <c r="C70" s="1081">
        <v>0</v>
      </c>
      <c r="D70" s="966">
        <f>'Table 3 Levels 1&amp;2'!AL71</f>
        <v>5960.2049072003338</v>
      </c>
      <c r="E70" s="1013">
        <f t="shared" si="2"/>
        <v>0</v>
      </c>
      <c r="F70" s="1013">
        <f>'Table 4 Level 3'!P69</f>
        <v>592.66</v>
      </c>
      <c r="G70" s="1013">
        <f t="shared" si="3"/>
        <v>0</v>
      </c>
      <c r="H70" s="989">
        <f t="shared" si="4"/>
        <v>0</v>
      </c>
      <c r="I70" s="1023">
        <f t="shared" si="5"/>
        <v>0</v>
      </c>
      <c r="J70" s="989">
        <f t="shared" si="6"/>
        <v>0</v>
      </c>
      <c r="K70" s="989">
        <v>0</v>
      </c>
      <c r="L70" s="989">
        <f t="shared" si="7"/>
        <v>0</v>
      </c>
      <c r="M70" s="989">
        <f t="shared" si="8"/>
        <v>0</v>
      </c>
      <c r="N70" s="981">
        <f>'Table 5C1A-Madison Prep'!N70</f>
        <v>2901</v>
      </c>
      <c r="O70" s="983">
        <f t="shared" si="9"/>
        <v>0</v>
      </c>
      <c r="P70" s="1029">
        <f t="shared" si="10"/>
        <v>0</v>
      </c>
      <c r="Q70" s="983">
        <f t="shared" si="11"/>
        <v>0</v>
      </c>
      <c r="R70" s="983">
        <v>0</v>
      </c>
      <c r="S70" s="983">
        <f t="shared" si="12"/>
        <v>0</v>
      </c>
      <c r="T70" s="983">
        <f t="shared" si="13"/>
        <v>0</v>
      </c>
      <c r="U70" s="984">
        <f t="shared" si="14"/>
        <v>0</v>
      </c>
      <c r="V70" s="984">
        <f t="shared" si="14"/>
        <v>0</v>
      </c>
    </row>
    <row r="71" spans="1:22">
      <c r="A71" s="963">
        <v>65</v>
      </c>
      <c r="B71" s="964" t="s">
        <v>156</v>
      </c>
      <c r="C71" s="1082">
        <v>0</v>
      </c>
      <c r="D71" s="967">
        <f>'Table 3 Levels 1&amp;2'!AL72</f>
        <v>4579.2772303106676</v>
      </c>
      <c r="E71" s="1014">
        <f t="shared" si="2"/>
        <v>0</v>
      </c>
      <c r="F71" s="1014">
        <f>'Table 4 Level 3'!P70</f>
        <v>829.12</v>
      </c>
      <c r="G71" s="1014">
        <f t="shared" si="3"/>
        <v>0</v>
      </c>
      <c r="H71" s="990">
        <f t="shared" si="4"/>
        <v>0</v>
      </c>
      <c r="I71" s="1024">
        <f t="shared" si="5"/>
        <v>0</v>
      </c>
      <c r="J71" s="990">
        <f t="shared" si="6"/>
        <v>0</v>
      </c>
      <c r="K71" s="990">
        <v>0</v>
      </c>
      <c r="L71" s="990">
        <f t="shared" si="7"/>
        <v>0</v>
      </c>
      <c r="M71" s="990">
        <f t="shared" si="8"/>
        <v>0</v>
      </c>
      <c r="N71" s="986">
        <f>'Table 5C1A-Madison Prep'!N71</f>
        <v>5001</v>
      </c>
      <c r="O71" s="987">
        <f t="shared" si="9"/>
        <v>0</v>
      </c>
      <c r="P71" s="1030">
        <f t="shared" si="10"/>
        <v>0</v>
      </c>
      <c r="Q71" s="987">
        <f t="shared" si="11"/>
        <v>0</v>
      </c>
      <c r="R71" s="987">
        <v>0</v>
      </c>
      <c r="S71" s="987">
        <f t="shared" si="12"/>
        <v>0</v>
      </c>
      <c r="T71" s="987">
        <f t="shared" si="13"/>
        <v>0</v>
      </c>
      <c r="U71" s="988">
        <f t="shared" si="14"/>
        <v>0</v>
      </c>
      <c r="V71" s="988">
        <f t="shared" si="14"/>
        <v>0</v>
      </c>
    </row>
    <row r="72" spans="1:22">
      <c r="A72" s="953">
        <v>66</v>
      </c>
      <c r="B72" s="954" t="s">
        <v>157</v>
      </c>
      <c r="C72" s="1083">
        <v>115</v>
      </c>
      <c r="D72" s="968">
        <f>'Table 3 Levels 1&amp;2'!AL73</f>
        <v>6370.8108195713585</v>
      </c>
      <c r="E72" s="1015">
        <f t="shared" ref="E72:E75" si="15">C72*D72</f>
        <v>732643.24425070628</v>
      </c>
      <c r="F72" s="1015">
        <f>'Table 4 Level 3'!P71</f>
        <v>730.06</v>
      </c>
      <c r="G72" s="1015">
        <f t="shared" ref="G72:G75" si="16">C72*F72</f>
        <v>83956.9</v>
      </c>
      <c r="H72" s="991">
        <f t="shared" ref="H72:H75" si="17">E72+G72</f>
        <v>816600.1442507063</v>
      </c>
      <c r="I72" s="1025">
        <f t="shared" ref="I72:I75" si="18">-(0.25%*H72)</f>
        <v>-2041.5003606267658</v>
      </c>
      <c r="J72" s="991">
        <f t="shared" ref="J72:J75" si="19">SUM(H72:I72)</f>
        <v>814558.64389007958</v>
      </c>
      <c r="K72" s="991">
        <v>0</v>
      </c>
      <c r="L72" s="991">
        <f t="shared" ref="L72:L75" si="20">SUM(J72:K72)</f>
        <v>814558.64389007958</v>
      </c>
      <c r="M72" s="991">
        <f t="shared" ref="M72:M75" si="21">L72/12</f>
        <v>67879.886990839965</v>
      </c>
      <c r="N72" s="981">
        <f>'Table 5C1A-Madison Prep'!N72</f>
        <v>3415</v>
      </c>
      <c r="O72" s="958">
        <f t="shared" ref="O72:O75" si="22">C72*N72</f>
        <v>392725</v>
      </c>
      <c r="P72" s="1028">
        <f t="shared" ref="P72:P75" si="23">-(0.25%*O72)</f>
        <v>-981.8125</v>
      </c>
      <c r="Q72" s="958">
        <f t="shared" ref="Q72:Q75" si="24">SUM(O72:P72)</f>
        <v>391743.1875</v>
      </c>
      <c r="R72" s="958">
        <v>0</v>
      </c>
      <c r="S72" s="958">
        <f t="shared" ref="S72:S75" si="25">SUM(Q72:R72)</f>
        <v>391743.1875</v>
      </c>
      <c r="T72" s="958">
        <f t="shared" ref="T72:T75" si="26">S72/12</f>
        <v>32645.265625</v>
      </c>
      <c r="U72" s="959">
        <f t="shared" ref="U72:V75" si="27">L72+S72</f>
        <v>1206301.8313900796</v>
      </c>
      <c r="V72" s="959">
        <f t="shared" si="27"/>
        <v>100525.15261583996</v>
      </c>
    </row>
    <row r="73" spans="1:22">
      <c r="A73" s="960">
        <v>67</v>
      </c>
      <c r="B73" s="961" t="s">
        <v>32</v>
      </c>
      <c r="C73" s="1081">
        <v>0</v>
      </c>
      <c r="D73" s="966">
        <f>'Table 3 Levels 1&amp;2'!AL74</f>
        <v>4951.6009932106244</v>
      </c>
      <c r="E73" s="1013">
        <f t="shared" si="15"/>
        <v>0</v>
      </c>
      <c r="F73" s="1013">
        <f>'Table 4 Level 3'!P72</f>
        <v>715.61</v>
      </c>
      <c r="G73" s="1013">
        <f t="shared" si="16"/>
        <v>0</v>
      </c>
      <c r="H73" s="989">
        <f t="shared" si="17"/>
        <v>0</v>
      </c>
      <c r="I73" s="1023">
        <f t="shared" si="18"/>
        <v>0</v>
      </c>
      <c r="J73" s="989">
        <f t="shared" si="19"/>
        <v>0</v>
      </c>
      <c r="K73" s="989">
        <v>0</v>
      </c>
      <c r="L73" s="989">
        <f t="shared" si="20"/>
        <v>0</v>
      </c>
      <c r="M73" s="989">
        <f t="shared" si="21"/>
        <v>0</v>
      </c>
      <c r="N73" s="981">
        <f>'Table 5C1A-Madison Prep'!N73</f>
        <v>5221</v>
      </c>
      <c r="O73" s="983">
        <f t="shared" si="22"/>
        <v>0</v>
      </c>
      <c r="P73" s="1029">
        <f t="shared" si="23"/>
        <v>0</v>
      </c>
      <c r="Q73" s="983">
        <f t="shared" si="24"/>
        <v>0</v>
      </c>
      <c r="R73" s="983">
        <v>0</v>
      </c>
      <c r="S73" s="983">
        <f t="shared" si="25"/>
        <v>0</v>
      </c>
      <c r="T73" s="983">
        <f t="shared" si="26"/>
        <v>0</v>
      </c>
      <c r="U73" s="984">
        <f t="shared" si="27"/>
        <v>0</v>
      </c>
      <c r="V73" s="984">
        <f t="shared" si="27"/>
        <v>0</v>
      </c>
    </row>
    <row r="74" spans="1:22">
      <c r="A74" s="960">
        <v>68</v>
      </c>
      <c r="B74" s="961" t="s">
        <v>30</v>
      </c>
      <c r="C74" s="1081">
        <v>0</v>
      </c>
      <c r="D74" s="966">
        <f>'Table 3 Levels 1&amp;2'!AL75</f>
        <v>6077.2398733698947</v>
      </c>
      <c r="E74" s="1013">
        <f t="shared" si="15"/>
        <v>0</v>
      </c>
      <c r="F74" s="1013">
        <f>'Table 4 Level 3'!P73</f>
        <v>798.7</v>
      </c>
      <c r="G74" s="1013">
        <f t="shared" si="16"/>
        <v>0</v>
      </c>
      <c r="H74" s="989">
        <f t="shared" si="17"/>
        <v>0</v>
      </c>
      <c r="I74" s="1023">
        <f t="shared" si="18"/>
        <v>0</v>
      </c>
      <c r="J74" s="989">
        <f t="shared" si="19"/>
        <v>0</v>
      </c>
      <c r="K74" s="989">
        <v>0</v>
      </c>
      <c r="L74" s="989">
        <f t="shared" si="20"/>
        <v>0</v>
      </c>
      <c r="M74" s="989">
        <f t="shared" si="21"/>
        <v>0</v>
      </c>
      <c r="N74" s="981">
        <f>'Table 5C1A-Madison Prep'!N74</f>
        <v>2680</v>
      </c>
      <c r="O74" s="983">
        <f t="shared" si="22"/>
        <v>0</v>
      </c>
      <c r="P74" s="1029">
        <f t="shared" si="23"/>
        <v>0</v>
      </c>
      <c r="Q74" s="983">
        <f t="shared" si="24"/>
        <v>0</v>
      </c>
      <c r="R74" s="983">
        <v>0</v>
      </c>
      <c r="S74" s="983">
        <f t="shared" si="25"/>
        <v>0</v>
      </c>
      <c r="T74" s="983">
        <f t="shared" si="26"/>
        <v>0</v>
      </c>
      <c r="U74" s="984">
        <f t="shared" si="27"/>
        <v>0</v>
      </c>
      <c r="V74" s="984">
        <f t="shared" si="27"/>
        <v>0</v>
      </c>
    </row>
    <row r="75" spans="1:22">
      <c r="A75" s="969">
        <v>69</v>
      </c>
      <c r="B75" s="970" t="s">
        <v>208</v>
      </c>
      <c r="C75" s="1084">
        <v>0</v>
      </c>
      <c r="D75" s="971">
        <f>'Table 3 Levels 1&amp;2'!AL76</f>
        <v>5585.8253106686579</v>
      </c>
      <c r="E75" s="1016">
        <f t="shared" si="15"/>
        <v>0</v>
      </c>
      <c r="F75" s="1016">
        <f>'Table 4 Level 3'!P74</f>
        <v>705.67</v>
      </c>
      <c r="G75" s="1016">
        <f t="shared" si="16"/>
        <v>0</v>
      </c>
      <c r="H75" s="992">
        <f t="shared" si="17"/>
        <v>0</v>
      </c>
      <c r="I75" s="1026">
        <f t="shared" si="18"/>
        <v>0</v>
      </c>
      <c r="J75" s="992">
        <f t="shared" si="19"/>
        <v>0</v>
      </c>
      <c r="K75" s="992">
        <v>0</v>
      </c>
      <c r="L75" s="992">
        <f t="shared" si="20"/>
        <v>0</v>
      </c>
      <c r="M75" s="992">
        <f t="shared" si="21"/>
        <v>0</v>
      </c>
      <c r="N75" s="981">
        <f>'Table 5C1A-Madison Prep'!N75</f>
        <v>3263</v>
      </c>
      <c r="O75" s="993">
        <f t="shared" si="22"/>
        <v>0</v>
      </c>
      <c r="P75" s="1031">
        <f t="shared" si="23"/>
        <v>0</v>
      </c>
      <c r="Q75" s="993">
        <f t="shared" si="24"/>
        <v>0</v>
      </c>
      <c r="R75" s="993">
        <v>0</v>
      </c>
      <c r="S75" s="993">
        <f t="shared" si="25"/>
        <v>0</v>
      </c>
      <c r="T75" s="993">
        <f t="shared" si="26"/>
        <v>0</v>
      </c>
      <c r="U75" s="994">
        <f t="shared" si="27"/>
        <v>0</v>
      </c>
      <c r="V75" s="994">
        <f t="shared" si="27"/>
        <v>0</v>
      </c>
    </row>
    <row r="76" spans="1:22" ht="13.5" thickBot="1">
      <c r="A76" s="972"/>
      <c r="B76" s="973" t="s">
        <v>158</v>
      </c>
      <c r="C76" s="974">
        <f>SUM(C7:C75)</f>
        <v>230</v>
      </c>
      <c r="D76" s="975"/>
      <c r="E76" s="1017">
        <f>SUM(E7:E75)</f>
        <v>1454185.2871377808</v>
      </c>
      <c r="F76" s="1017">
        <f>'[17]Table 4 Level 3'!P75</f>
        <v>703.90028204588873</v>
      </c>
      <c r="G76" s="1017">
        <f t="shared" ref="G76:L76" si="28">SUM(G7:G75)</f>
        <v>163251.70000000001</v>
      </c>
      <c r="H76" s="976">
        <f t="shared" si="28"/>
        <v>1617436.987137781</v>
      </c>
      <c r="I76" s="1027">
        <f t="shared" si="28"/>
        <v>-4043.5924678444521</v>
      </c>
      <c r="J76" s="976">
        <f t="shared" si="28"/>
        <v>1613393.3946699365</v>
      </c>
      <c r="K76" s="976">
        <f t="shared" si="28"/>
        <v>0</v>
      </c>
      <c r="L76" s="976">
        <f t="shared" si="28"/>
        <v>1613393.3946699365</v>
      </c>
      <c r="M76" s="976">
        <f>SUM(M7:M75)</f>
        <v>134449.44955582806</v>
      </c>
      <c r="N76" s="995">
        <f>'Table 5C1A-Madison Prep'!N76</f>
        <v>4503</v>
      </c>
      <c r="O76" s="977">
        <f t="shared" ref="O76:V76" si="29">SUM(O7:O75)</f>
        <v>566375</v>
      </c>
      <c r="P76" s="1032">
        <f t="shared" si="29"/>
        <v>-1415.9375</v>
      </c>
      <c r="Q76" s="977">
        <f t="shared" si="29"/>
        <v>564959.0625</v>
      </c>
      <c r="R76" s="977">
        <f t="shared" si="29"/>
        <v>0</v>
      </c>
      <c r="S76" s="977">
        <f t="shared" si="29"/>
        <v>564959.0625</v>
      </c>
      <c r="T76" s="977">
        <f t="shared" si="29"/>
        <v>47079.921875</v>
      </c>
      <c r="U76" s="978">
        <f t="shared" si="29"/>
        <v>2178352.4571699365</v>
      </c>
      <c r="V76" s="978">
        <f t="shared" si="29"/>
        <v>181529.37143082806</v>
      </c>
    </row>
    <row r="77" spans="1:22" ht="13.5" thickTop="1"/>
  </sheetData>
  <mergeCells count="19">
    <mergeCell ref="U2:U4"/>
    <mergeCell ref="V2:V4"/>
    <mergeCell ref="C3:C4"/>
    <mergeCell ref="D3:D4"/>
    <mergeCell ref="E3:E4"/>
    <mergeCell ref="F3:F4"/>
    <mergeCell ref="G3:G4"/>
    <mergeCell ref="Q3:Q4"/>
    <mergeCell ref="R3:R4"/>
    <mergeCell ref="S3:S4"/>
    <mergeCell ref="H3:H4"/>
    <mergeCell ref="J3:J4"/>
    <mergeCell ref="K3:K4"/>
    <mergeCell ref="L3:L4"/>
    <mergeCell ref="M3:M4"/>
    <mergeCell ref="N3:N4"/>
    <mergeCell ref="A2:B4"/>
    <mergeCell ref="C2:M2"/>
    <mergeCell ref="N2:T2"/>
  </mergeCells>
  <pageMargins left="0.34" right="0.46" top="0.75" bottom="0.75" header="0.3" footer="0.3"/>
  <pageSetup paperSize="5" scale="60" firstPageNumber="64" orientation="portrait" useFirstPageNumber="1" r:id="rId1"/>
  <headerFooter>
    <oddHeader>&amp;L&amp;"Arial,Bold"&amp;20Table 5C1-L: FY2013-14 MFP Budget Letter 
Northshore Charter School</oddHeader>
    <oddFooter>&amp;R&amp;P</oddFooter>
  </headerFooter>
  <colBreaks count="1" manualBreakCount="1">
    <brk id="13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view="pageBreakPreview" zoomScale="90" zoomScaleNormal="100" zoomScaleSheetLayoutView="90" workbookViewId="0">
      <pane xSplit="2" ySplit="6" topLeftCell="K7" activePane="bottomRight" state="frozen"/>
      <selection activeCell="B1" sqref="B1:B2"/>
      <selection pane="topRight" activeCell="B1" sqref="B1:B2"/>
      <selection pane="bottomLeft" activeCell="B1" sqref="B1:B2"/>
      <selection pane="bottomRight" activeCell="N8" sqref="N8:N76"/>
    </sheetView>
  </sheetViews>
  <sheetFormatPr defaultRowHeight="12.75"/>
  <cols>
    <col min="1" max="1" width="4.28515625" style="1077" customWidth="1"/>
    <col min="2" max="2" width="17.85546875" style="1077" bestFit="1" customWidth="1"/>
    <col min="3" max="3" width="12.7109375" style="1077" customWidth="1"/>
    <col min="4" max="4" width="17" style="1077" customWidth="1"/>
    <col min="5" max="5" width="11" style="1077" bestFit="1" customWidth="1"/>
    <col min="6" max="6" width="12" style="1077" customWidth="1"/>
    <col min="7" max="7" width="13.28515625" style="1077" customWidth="1"/>
    <col min="8" max="8" width="14.5703125" style="1077" customWidth="1"/>
    <col min="9" max="9" width="12.28515625" style="1077" customWidth="1"/>
    <col min="10" max="10" width="12" style="1077" bestFit="1" customWidth="1"/>
    <col min="11" max="11" width="13.42578125" style="1077" bestFit="1" customWidth="1"/>
    <col min="12" max="12" width="14" style="1077" customWidth="1"/>
    <col min="13" max="13" width="9.28515625" style="1077" bestFit="1" customWidth="1"/>
    <col min="14" max="14" width="17.28515625" style="1077" customWidth="1"/>
    <col min="15" max="15" width="16.7109375" style="1077" customWidth="1"/>
    <col min="16" max="16" width="13.7109375" style="1077" customWidth="1"/>
    <col min="17" max="17" width="17" style="1077" customWidth="1"/>
    <col min="18" max="18" width="15.28515625" style="1077" customWidth="1"/>
    <col min="19" max="19" width="13.140625" style="1077" customWidth="1"/>
    <col min="20" max="20" width="12" style="1077" customWidth="1"/>
    <col min="21" max="21" width="11" style="1077" customWidth="1"/>
    <col min="22" max="22" width="12.140625" style="1077" customWidth="1"/>
    <col min="23" max="16384" width="9.140625" style="1077"/>
  </cols>
  <sheetData>
    <row r="1" spans="1:22">
      <c r="C1" s="1238"/>
      <c r="D1" s="1238"/>
      <c r="E1" s="1238"/>
      <c r="F1" s="1238"/>
      <c r="G1" s="1238"/>
      <c r="H1" s="1238"/>
      <c r="I1" s="1238"/>
      <c r="J1" s="1238"/>
      <c r="K1" s="1238"/>
      <c r="L1" s="1238"/>
      <c r="M1" s="1238"/>
    </row>
    <row r="2" spans="1:22" ht="45" customHeight="1">
      <c r="A2" s="1742" t="s">
        <v>956</v>
      </c>
      <c r="B2" s="1743"/>
      <c r="C2" s="1718" t="s">
        <v>686</v>
      </c>
      <c r="D2" s="1719"/>
      <c r="E2" s="1719"/>
      <c r="F2" s="1719"/>
      <c r="G2" s="1719"/>
      <c r="H2" s="1719"/>
      <c r="I2" s="1719"/>
      <c r="J2" s="1719"/>
      <c r="K2" s="1719"/>
      <c r="L2" s="1719"/>
      <c r="M2" s="1720"/>
      <c r="N2" s="1700" t="s">
        <v>656</v>
      </c>
      <c r="O2" s="1701"/>
      <c r="P2" s="1701"/>
      <c r="Q2" s="1701"/>
      <c r="R2" s="1701"/>
      <c r="S2" s="1701"/>
      <c r="T2" s="1702"/>
      <c r="U2" s="1703" t="s">
        <v>695</v>
      </c>
      <c r="V2" s="1703" t="s">
        <v>654</v>
      </c>
    </row>
    <row r="3" spans="1:22" ht="111.75" customHeight="1">
      <c r="A3" s="1744"/>
      <c r="B3" s="1745"/>
      <c r="C3" s="1748" t="s">
        <v>589</v>
      </c>
      <c r="D3" s="1717" t="s">
        <v>744</v>
      </c>
      <c r="E3" s="1717" t="s">
        <v>687</v>
      </c>
      <c r="F3" s="1706" t="s">
        <v>501</v>
      </c>
      <c r="G3" s="1706" t="s">
        <v>445</v>
      </c>
      <c r="H3" s="1706" t="s">
        <v>688</v>
      </c>
      <c r="I3" s="1277" t="s">
        <v>456</v>
      </c>
      <c r="J3" s="1706" t="s">
        <v>689</v>
      </c>
      <c r="K3" s="1706" t="s">
        <v>967</v>
      </c>
      <c r="L3" s="1706" t="s">
        <v>690</v>
      </c>
      <c r="M3" s="1717" t="s">
        <v>655</v>
      </c>
      <c r="N3" s="1709" t="s">
        <v>527</v>
      </c>
      <c r="O3" s="1278" t="s">
        <v>691</v>
      </c>
      <c r="P3" s="1278" t="s">
        <v>457</v>
      </c>
      <c r="Q3" s="1709" t="s">
        <v>692</v>
      </c>
      <c r="R3" s="1709" t="s">
        <v>967</v>
      </c>
      <c r="S3" s="1709" t="s">
        <v>693</v>
      </c>
      <c r="T3" s="1278" t="s">
        <v>694</v>
      </c>
      <c r="U3" s="1704"/>
      <c r="V3" s="1704"/>
    </row>
    <row r="4" spans="1:22" ht="23.25" customHeight="1">
      <c r="A4" s="1746"/>
      <c r="B4" s="1747"/>
      <c r="C4" s="1749"/>
      <c r="D4" s="1717"/>
      <c r="E4" s="1717"/>
      <c r="F4" s="1707"/>
      <c r="G4" s="1707"/>
      <c r="H4" s="1707"/>
      <c r="I4" s="1018">
        <v>2.5000000000000001E-3</v>
      </c>
      <c r="J4" s="1707"/>
      <c r="K4" s="1707"/>
      <c r="L4" s="1707"/>
      <c r="M4" s="1717"/>
      <c r="N4" s="1710"/>
      <c r="O4" s="1276"/>
      <c r="P4" s="1019">
        <v>2.5000000000000001E-3</v>
      </c>
      <c r="Q4" s="1710"/>
      <c r="R4" s="1710"/>
      <c r="S4" s="1710"/>
      <c r="T4" s="1276"/>
      <c r="U4" s="1705"/>
      <c r="V4" s="1705"/>
    </row>
    <row r="5" spans="1:22" ht="14.25" customHeight="1">
      <c r="A5" s="950"/>
      <c r="B5" s="951"/>
      <c r="C5" s="952">
        <v>1</v>
      </c>
      <c r="D5" s="952">
        <f t="shared" ref="D5" si="0">C5+1</f>
        <v>2</v>
      </c>
      <c r="E5" s="952">
        <f>D5+1</f>
        <v>3</v>
      </c>
      <c r="F5" s="952">
        <f t="shared" ref="F5:V5" si="1">E5+1</f>
        <v>4</v>
      </c>
      <c r="G5" s="952">
        <f t="shared" si="1"/>
        <v>5</v>
      </c>
      <c r="H5" s="952">
        <f t="shared" si="1"/>
        <v>6</v>
      </c>
      <c r="I5" s="952">
        <f t="shared" si="1"/>
        <v>7</v>
      </c>
      <c r="J5" s="952">
        <f t="shared" si="1"/>
        <v>8</v>
      </c>
      <c r="K5" s="952">
        <f t="shared" si="1"/>
        <v>9</v>
      </c>
      <c r="L5" s="952">
        <f t="shared" si="1"/>
        <v>10</v>
      </c>
      <c r="M5" s="952">
        <f t="shared" si="1"/>
        <v>11</v>
      </c>
      <c r="N5" s="952">
        <f t="shared" si="1"/>
        <v>12</v>
      </c>
      <c r="O5" s="952">
        <f t="shared" si="1"/>
        <v>13</v>
      </c>
      <c r="P5" s="952">
        <f t="shared" si="1"/>
        <v>14</v>
      </c>
      <c r="Q5" s="952">
        <f t="shared" si="1"/>
        <v>15</v>
      </c>
      <c r="R5" s="952">
        <f t="shared" si="1"/>
        <v>16</v>
      </c>
      <c r="S5" s="952">
        <f t="shared" si="1"/>
        <v>17</v>
      </c>
      <c r="T5" s="952">
        <f t="shared" si="1"/>
        <v>18</v>
      </c>
      <c r="U5" s="952">
        <f t="shared" si="1"/>
        <v>19</v>
      </c>
      <c r="V5" s="952">
        <f t="shared" si="1"/>
        <v>20</v>
      </c>
    </row>
    <row r="6" spans="1:22" ht="27" customHeight="1">
      <c r="A6" s="979"/>
      <c r="B6" s="980"/>
      <c r="C6" s="980"/>
      <c r="D6" s="980"/>
      <c r="E6" s="980"/>
      <c r="F6" s="980"/>
      <c r="G6" s="980"/>
      <c r="H6" s="980"/>
      <c r="I6" s="980"/>
      <c r="J6" s="980"/>
      <c r="K6" s="980"/>
      <c r="L6" s="980"/>
      <c r="M6" s="980"/>
      <c r="N6" s="980"/>
      <c r="O6" s="980"/>
      <c r="P6" s="980"/>
      <c r="Q6" s="980"/>
      <c r="R6" s="980"/>
      <c r="S6" s="980"/>
      <c r="T6" s="980"/>
      <c r="U6" s="980"/>
      <c r="V6" s="980"/>
    </row>
    <row r="7" spans="1:22">
      <c r="A7" s="953">
        <v>1</v>
      </c>
      <c r="B7" s="954" t="s">
        <v>93</v>
      </c>
      <c r="C7" s="1080">
        <v>0</v>
      </c>
      <c r="D7" s="956">
        <f>'Table 3 Levels 1&amp;2'!AL8</f>
        <v>4597.5882673899441</v>
      </c>
      <c r="E7" s="1010">
        <f>C7*D7</f>
        <v>0</v>
      </c>
      <c r="F7" s="1010">
        <f>'Table 4 Level 3'!P6</f>
        <v>777.48</v>
      </c>
      <c r="G7" s="1010">
        <f>C7*F7</f>
        <v>0</v>
      </c>
      <c r="H7" s="957">
        <f>E7+G7</f>
        <v>0</v>
      </c>
      <c r="I7" s="1020">
        <f>-(0.25%*H7)</f>
        <v>0</v>
      </c>
      <c r="J7" s="957">
        <f>SUM(H7:I7)</f>
        <v>0</v>
      </c>
      <c r="K7" s="957">
        <v>0</v>
      </c>
      <c r="L7" s="957">
        <f>SUM(J7:K7)</f>
        <v>0</v>
      </c>
      <c r="M7" s="957">
        <f>L7/12</f>
        <v>0</v>
      </c>
      <c r="N7" s="981">
        <f>'Table 5C1A-Madison Prep'!N7</f>
        <v>2168</v>
      </c>
      <c r="O7" s="958">
        <f>C7*N7</f>
        <v>0</v>
      </c>
      <c r="P7" s="1028">
        <f>-(0.25%*O7)</f>
        <v>0</v>
      </c>
      <c r="Q7" s="958">
        <f>SUM(O7:P7)</f>
        <v>0</v>
      </c>
      <c r="R7" s="958">
        <v>0</v>
      </c>
      <c r="S7" s="958">
        <f>SUM(Q7:R7)</f>
        <v>0</v>
      </c>
      <c r="T7" s="958">
        <f>S7/12</f>
        <v>0</v>
      </c>
      <c r="U7" s="959">
        <f>L7+S7</f>
        <v>0</v>
      </c>
      <c r="V7" s="959">
        <f>M7+T7</f>
        <v>0</v>
      </c>
    </row>
    <row r="8" spans="1:22">
      <c r="A8" s="960">
        <v>2</v>
      </c>
      <c r="B8" s="961" t="s">
        <v>94</v>
      </c>
      <c r="C8" s="1078">
        <v>0</v>
      </c>
      <c r="D8" s="962">
        <f>'Table 3 Levels 1&amp;2'!AL9</f>
        <v>6182.4313545138375</v>
      </c>
      <c r="E8" s="1011">
        <f t="shared" ref="E8:E71" si="2">C8*D8</f>
        <v>0</v>
      </c>
      <c r="F8" s="1011">
        <f>'Table 4 Level 3'!P7</f>
        <v>842.32</v>
      </c>
      <c r="G8" s="1011">
        <f t="shared" ref="G8:G71" si="3">C8*F8</f>
        <v>0</v>
      </c>
      <c r="H8" s="982">
        <f t="shared" ref="H8:H71" si="4">E8+G8</f>
        <v>0</v>
      </c>
      <c r="I8" s="1021">
        <f t="shared" ref="I8:I71" si="5">-(0.25%*H8)</f>
        <v>0</v>
      </c>
      <c r="J8" s="982">
        <f t="shared" ref="J8:J71" si="6">SUM(H8:I8)</f>
        <v>0</v>
      </c>
      <c r="K8" s="982">
        <v>0</v>
      </c>
      <c r="L8" s="982">
        <f t="shared" ref="L8:L71" si="7">SUM(J8:K8)</f>
        <v>0</v>
      </c>
      <c r="M8" s="982">
        <f t="shared" ref="M8:M71" si="8">L8/12</f>
        <v>0</v>
      </c>
      <c r="N8" s="981">
        <f>'Table 5C1A-Madison Prep'!N8</f>
        <v>2627</v>
      </c>
      <c r="O8" s="983">
        <f t="shared" ref="O8:O71" si="9">C8*N8</f>
        <v>0</v>
      </c>
      <c r="P8" s="1029">
        <f t="shared" ref="P8:P71" si="10">-(0.25%*O8)</f>
        <v>0</v>
      </c>
      <c r="Q8" s="983">
        <f t="shared" ref="Q8:Q71" si="11">SUM(O8:P8)</f>
        <v>0</v>
      </c>
      <c r="R8" s="983">
        <v>0</v>
      </c>
      <c r="S8" s="983">
        <f t="shared" ref="S8:S71" si="12">SUM(Q8:R8)</f>
        <v>0</v>
      </c>
      <c r="T8" s="983">
        <f t="shared" ref="T8:T71" si="13">S8/12</f>
        <v>0</v>
      </c>
      <c r="U8" s="984">
        <f t="shared" ref="U8:V71" si="14">L8+S8</f>
        <v>0</v>
      </c>
      <c r="V8" s="984">
        <f t="shared" si="14"/>
        <v>0</v>
      </c>
    </row>
    <row r="9" spans="1:22">
      <c r="A9" s="960">
        <v>3</v>
      </c>
      <c r="B9" s="961" t="s">
        <v>95</v>
      </c>
      <c r="C9" s="1078">
        <v>0</v>
      </c>
      <c r="D9" s="962">
        <f>'Table 3 Levels 1&amp;2'!AL10</f>
        <v>4206.710737685361</v>
      </c>
      <c r="E9" s="1011">
        <f t="shared" si="2"/>
        <v>0</v>
      </c>
      <c r="F9" s="1011">
        <f>'Table 4 Level 3'!P8</f>
        <v>596.84</v>
      </c>
      <c r="G9" s="1011">
        <f t="shared" si="3"/>
        <v>0</v>
      </c>
      <c r="H9" s="982">
        <f t="shared" si="4"/>
        <v>0</v>
      </c>
      <c r="I9" s="1021">
        <f t="shared" si="5"/>
        <v>0</v>
      </c>
      <c r="J9" s="982">
        <f t="shared" si="6"/>
        <v>0</v>
      </c>
      <c r="K9" s="982">
        <v>0</v>
      </c>
      <c r="L9" s="982">
        <f t="shared" si="7"/>
        <v>0</v>
      </c>
      <c r="M9" s="982">
        <f t="shared" si="8"/>
        <v>0</v>
      </c>
      <c r="N9" s="981">
        <f>'Table 5C1A-Madison Prep'!N9</f>
        <v>5431</v>
      </c>
      <c r="O9" s="983">
        <f t="shared" si="9"/>
        <v>0</v>
      </c>
      <c r="P9" s="1029">
        <f t="shared" si="10"/>
        <v>0</v>
      </c>
      <c r="Q9" s="983">
        <f t="shared" si="11"/>
        <v>0</v>
      </c>
      <c r="R9" s="983">
        <v>0</v>
      </c>
      <c r="S9" s="983">
        <f t="shared" si="12"/>
        <v>0</v>
      </c>
      <c r="T9" s="983">
        <f t="shared" si="13"/>
        <v>0</v>
      </c>
      <c r="U9" s="984">
        <f t="shared" si="14"/>
        <v>0</v>
      </c>
      <c r="V9" s="984">
        <f t="shared" si="14"/>
        <v>0</v>
      </c>
    </row>
    <row r="10" spans="1:22">
      <c r="A10" s="960">
        <v>4</v>
      </c>
      <c r="B10" s="961" t="s">
        <v>96</v>
      </c>
      <c r="C10" s="1078">
        <v>0</v>
      </c>
      <c r="D10" s="962">
        <f>'Table 3 Levels 1&amp;2'!AL11</f>
        <v>5987.4993535453223</v>
      </c>
      <c r="E10" s="1011">
        <f t="shared" si="2"/>
        <v>0</v>
      </c>
      <c r="F10" s="1011">
        <f>'Table 4 Level 3'!P9</f>
        <v>585.76</v>
      </c>
      <c r="G10" s="1011">
        <f t="shared" si="3"/>
        <v>0</v>
      </c>
      <c r="H10" s="982">
        <f t="shared" si="4"/>
        <v>0</v>
      </c>
      <c r="I10" s="1021">
        <f t="shared" si="5"/>
        <v>0</v>
      </c>
      <c r="J10" s="982">
        <f t="shared" si="6"/>
        <v>0</v>
      </c>
      <c r="K10" s="982">
        <v>0</v>
      </c>
      <c r="L10" s="982">
        <f t="shared" si="7"/>
        <v>0</v>
      </c>
      <c r="M10" s="982">
        <f t="shared" si="8"/>
        <v>0</v>
      </c>
      <c r="N10" s="981">
        <f>'Table 5C1A-Madison Prep'!N10</f>
        <v>3029</v>
      </c>
      <c r="O10" s="983">
        <f t="shared" si="9"/>
        <v>0</v>
      </c>
      <c r="P10" s="1029">
        <f t="shared" si="10"/>
        <v>0</v>
      </c>
      <c r="Q10" s="983">
        <f t="shared" si="11"/>
        <v>0</v>
      </c>
      <c r="R10" s="983">
        <v>0</v>
      </c>
      <c r="S10" s="983">
        <f t="shared" si="12"/>
        <v>0</v>
      </c>
      <c r="T10" s="983">
        <f t="shared" si="13"/>
        <v>0</v>
      </c>
      <c r="U10" s="984">
        <f t="shared" si="14"/>
        <v>0</v>
      </c>
      <c r="V10" s="984">
        <f t="shared" si="14"/>
        <v>0</v>
      </c>
    </row>
    <row r="11" spans="1:22">
      <c r="A11" s="963">
        <v>5</v>
      </c>
      <c r="B11" s="964" t="s">
        <v>97</v>
      </c>
      <c r="C11" s="1079">
        <v>0</v>
      </c>
      <c r="D11" s="965">
        <f>'Table 3 Levels 1&amp;2'!AL12</f>
        <v>4986.8166927080074</v>
      </c>
      <c r="E11" s="1012">
        <f t="shared" si="2"/>
        <v>0</v>
      </c>
      <c r="F11" s="1012">
        <f>'Table 4 Level 3'!P10</f>
        <v>555.91</v>
      </c>
      <c r="G11" s="1012">
        <f t="shared" si="3"/>
        <v>0</v>
      </c>
      <c r="H11" s="985">
        <f t="shared" si="4"/>
        <v>0</v>
      </c>
      <c r="I11" s="1022">
        <f t="shared" si="5"/>
        <v>0</v>
      </c>
      <c r="J11" s="985">
        <f t="shared" si="6"/>
        <v>0</v>
      </c>
      <c r="K11" s="985">
        <v>0</v>
      </c>
      <c r="L11" s="985">
        <f t="shared" si="7"/>
        <v>0</v>
      </c>
      <c r="M11" s="985">
        <f t="shared" si="8"/>
        <v>0</v>
      </c>
      <c r="N11" s="986">
        <f>'Table 5C1A-Madison Prep'!N11</f>
        <v>1751</v>
      </c>
      <c r="O11" s="987">
        <f t="shared" si="9"/>
        <v>0</v>
      </c>
      <c r="P11" s="1030">
        <f t="shared" si="10"/>
        <v>0</v>
      </c>
      <c r="Q11" s="987">
        <f t="shared" si="11"/>
        <v>0</v>
      </c>
      <c r="R11" s="987">
        <v>0</v>
      </c>
      <c r="S11" s="987">
        <f t="shared" si="12"/>
        <v>0</v>
      </c>
      <c r="T11" s="987">
        <f t="shared" si="13"/>
        <v>0</v>
      </c>
      <c r="U11" s="988">
        <f t="shared" si="14"/>
        <v>0</v>
      </c>
      <c r="V11" s="988">
        <f t="shared" si="14"/>
        <v>0</v>
      </c>
    </row>
    <row r="12" spans="1:22">
      <c r="A12" s="953">
        <v>6</v>
      </c>
      <c r="B12" s="954" t="s">
        <v>98</v>
      </c>
      <c r="C12" s="1080">
        <v>0</v>
      </c>
      <c r="D12" s="956">
        <f>'Table 3 Levels 1&amp;2'!AL13</f>
        <v>5412.7883404260592</v>
      </c>
      <c r="E12" s="1010">
        <f t="shared" si="2"/>
        <v>0</v>
      </c>
      <c r="F12" s="1010">
        <f>'Table 4 Level 3'!P11</f>
        <v>545.4799999999999</v>
      </c>
      <c r="G12" s="1010">
        <f t="shared" si="3"/>
        <v>0</v>
      </c>
      <c r="H12" s="957">
        <f t="shared" si="4"/>
        <v>0</v>
      </c>
      <c r="I12" s="1020">
        <f t="shared" si="5"/>
        <v>0</v>
      </c>
      <c r="J12" s="957">
        <f t="shared" si="6"/>
        <v>0</v>
      </c>
      <c r="K12" s="957">
        <v>0</v>
      </c>
      <c r="L12" s="957">
        <f t="shared" si="7"/>
        <v>0</v>
      </c>
      <c r="M12" s="957">
        <f t="shared" si="8"/>
        <v>0</v>
      </c>
      <c r="N12" s="981">
        <f>'Table 5C1A-Madison Prep'!N12</f>
        <v>3735</v>
      </c>
      <c r="O12" s="958">
        <f t="shared" si="9"/>
        <v>0</v>
      </c>
      <c r="P12" s="1028">
        <f t="shared" si="10"/>
        <v>0</v>
      </c>
      <c r="Q12" s="958">
        <f t="shared" si="11"/>
        <v>0</v>
      </c>
      <c r="R12" s="958">
        <v>0</v>
      </c>
      <c r="S12" s="958">
        <f t="shared" si="12"/>
        <v>0</v>
      </c>
      <c r="T12" s="958">
        <f t="shared" si="13"/>
        <v>0</v>
      </c>
      <c r="U12" s="959">
        <f t="shared" si="14"/>
        <v>0</v>
      </c>
      <c r="V12" s="959">
        <f t="shared" si="14"/>
        <v>0</v>
      </c>
    </row>
    <row r="13" spans="1:22">
      <c r="A13" s="960">
        <v>7</v>
      </c>
      <c r="B13" s="961" t="s">
        <v>99</v>
      </c>
      <c r="C13" s="1078">
        <v>0</v>
      </c>
      <c r="D13" s="962">
        <f>'Table 3 Levels 1&amp;2'!AL14</f>
        <v>1766.1023604176123</v>
      </c>
      <c r="E13" s="1011">
        <f t="shared" si="2"/>
        <v>0</v>
      </c>
      <c r="F13" s="1011">
        <f>'Table 4 Level 3'!P12</f>
        <v>756.91999999999985</v>
      </c>
      <c r="G13" s="1011">
        <f t="shared" si="3"/>
        <v>0</v>
      </c>
      <c r="H13" s="982">
        <f t="shared" si="4"/>
        <v>0</v>
      </c>
      <c r="I13" s="1021">
        <f t="shared" si="5"/>
        <v>0</v>
      </c>
      <c r="J13" s="982">
        <f t="shared" si="6"/>
        <v>0</v>
      </c>
      <c r="K13" s="982">
        <v>0</v>
      </c>
      <c r="L13" s="982">
        <f t="shared" si="7"/>
        <v>0</v>
      </c>
      <c r="M13" s="982">
        <f t="shared" si="8"/>
        <v>0</v>
      </c>
      <c r="N13" s="981">
        <f>'Table 5C1A-Madison Prep'!N13</f>
        <v>11329</v>
      </c>
      <c r="O13" s="983">
        <f t="shared" si="9"/>
        <v>0</v>
      </c>
      <c r="P13" s="1029">
        <f t="shared" si="10"/>
        <v>0</v>
      </c>
      <c r="Q13" s="983">
        <f t="shared" si="11"/>
        <v>0</v>
      </c>
      <c r="R13" s="983">
        <v>0</v>
      </c>
      <c r="S13" s="983">
        <f t="shared" si="12"/>
        <v>0</v>
      </c>
      <c r="T13" s="983">
        <f t="shared" si="13"/>
        <v>0</v>
      </c>
      <c r="U13" s="984">
        <f t="shared" si="14"/>
        <v>0</v>
      </c>
      <c r="V13" s="984">
        <f t="shared" si="14"/>
        <v>0</v>
      </c>
    </row>
    <row r="14" spans="1:22">
      <c r="A14" s="960">
        <v>8</v>
      </c>
      <c r="B14" s="961" t="s">
        <v>100</v>
      </c>
      <c r="C14" s="1078">
        <v>0</v>
      </c>
      <c r="D14" s="962">
        <f>'Table 3 Levels 1&amp;2'!AL15</f>
        <v>4289.5073606712331</v>
      </c>
      <c r="E14" s="1011">
        <f t="shared" si="2"/>
        <v>0</v>
      </c>
      <c r="F14" s="1011">
        <f>'Table 4 Level 3'!P13</f>
        <v>725.76</v>
      </c>
      <c r="G14" s="1011">
        <f t="shared" si="3"/>
        <v>0</v>
      </c>
      <c r="H14" s="982">
        <f t="shared" si="4"/>
        <v>0</v>
      </c>
      <c r="I14" s="1021">
        <f t="shared" si="5"/>
        <v>0</v>
      </c>
      <c r="J14" s="982">
        <f t="shared" si="6"/>
        <v>0</v>
      </c>
      <c r="K14" s="982">
        <v>0</v>
      </c>
      <c r="L14" s="982">
        <f t="shared" si="7"/>
        <v>0</v>
      </c>
      <c r="M14" s="982">
        <f t="shared" si="8"/>
        <v>0</v>
      </c>
      <c r="N14" s="981">
        <f>'Table 5C1A-Madison Prep'!N14</f>
        <v>3915</v>
      </c>
      <c r="O14" s="983">
        <f t="shared" si="9"/>
        <v>0</v>
      </c>
      <c r="P14" s="1029">
        <f t="shared" si="10"/>
        <v>0</v>
      </c>
      <c r="Q14" s="983">
        <f t="shared" si="11"/>
        <v>0</v>
      </c>
      <c r="R14" s="983">
        <v>0</v>
      </c>
      <c r="S14" s="983">
        <f t="shared" si="12"/>
        <v>0</v>
      </c>
      <c r="T14" s="983">
        <f t="shared" si="13"/>
        <v>0</v>
      </c>
      <c r="U14" s="984">
        <f t="shared" si="14"/>
        <v>0</v>
      </c>
      <c r="V14" s="984">
        <f t="shared" si="14"/>
        <v>0</v>
      </c>
    </row>
    <row r="15" spans="1:22">
      <c r="A15" s="960">
        <v>9</v>
      </c>
      <c r="B15" s="961" t="s">
        <v>101</v>
      </c>
      <c r="C15" s="1078">
        <v>0</v>
      </c>
      <c r="D15" s="962">
        <f>'Table 3 Levels 1&amp;2'!AL16</f>
        <v>4395.6154516889328</v>
      </c>
      <c r="E15" s="1011">
        <f t="shared" si="2"/>
        <v>0</v>
      </c>
      <c r="F15" s="1011">
        <f>'Table 4 Level 3'!P14</f>
        <v>744.76</v>
      </c>
      <c r="G15" s="1011">
        <f t="shared" si="3"/>
        <v>0</v>
      </c>
      <c r="H15" s="982">
        <f t="shared" si="4"/>
        <v>0</v>
      </c>
      <c r="I15" s="1021">
        <f t="shared" si="5"/>
        <v>0</v>
      </c>
      <c r="J15" s="982">
        <f t="shared" si="6"/>
        <v>0</v>
      </c>
      <c r="K15" s="982">
        <v>0</v>
      </c>
      <c r="L15" s="982">
        <f t="shared" si="7"/>
        <v>0</v>
      </c>
      <c r="M15" s="982">
        <f t="shared" si="8"/>
        <v>0</v>
      </c>
      <c r="N15" s="981">
        <f>'Table 5C1A-Madison Prep'!N15</f>
        <v>4627</v>
      </c>
      <c r="O15" s="983">
        <f t="shared" si="9"/>
        <v>0</v>
      </c>
      <c r="P15" s="1029">
        <f t="shared" si="10"/>
        <v>0</v>
      </c>
      <c r="Q15" s="983">
        <f t="shared" si="11"/>
        <v>0</v>
      </c>
      <c r="R15" s="983">
        <v>0</v>
      </c>
      <c r="S15" s="983">
        <f t="shared" si="12"/>
        <v>0</v>
      </c>
      <c r="T15" s="983">
        <f t="shared" si="13"/>
        <v>0</v>
      </c>
      <c r="U15" s="984">
        <f t="shared" si="14"/>
        <v>0</v>
      </c>
      <c r="V15" s="984">
        <f t="shared" si="14"/>
        <v>0</v>
      </c>
    </row>
    <row r="16" spans="1:22">
      <c r="A16" s="963">
        <v>10</v>
      </c>
      <c r="B16" s="964" t="s">
        <v>102</v>
      </c>
      <c r="C16" s="1079">
        <v>0</v>
      </c>
      <c r="D16" s="965">
        <f>'Table 3 Levels 1&amp;2'!AL17</f>
        <v>4253.5980618992444</v>
      </c>
      <c r="E16" s="1012">
        <f t="shared" si="2"/>
        <v>0</v>
      </c>
      <c r="F16" s="1012">
        <f>'Table 4 Level 3'!P15</f>
        <v>608.04000000000008</v>
      </c>
      <c r="G16" s="1012">
        <f t="shared" si="3"/>
        <v>0</v>
      </c>
      <c r="H16" s="985">
        <f t="shared" si="4"/>
        <v>0</v>
      </c>
      <c r="I16" s="1022">
        <f t="shared" si="5"/>
        <v>0</v>
      </c>
      <c r="J16" s="985">
        <f t="shared" si="6"/>
        <v>0</v>
      </c>
      <c r="K16" s="985">
        <v>0</v>
      </c>
      <c r="L16" s="985">
        <f t="shared" si="7"/>
        <v>0</v>
      </c>
      <c r="M16" s="985">
        <f t="shared" si="8"/>
        <v>0</v>
      </c>
      <c r="N16" s="986">
        <f>'Table 5C1A-Madison Prep'!N16</f>
        <v>4489</v>
      </c>
      <c r="O16" s="987">
        <f t="shared" si="9"/>
        <v>0</v>
      </c>
      <c r="P16" s="1030">
        <f t="shared" si="10"/>
        <v>0</v>
      </c>
      <c r="Q16" s="987">
        <f t="shared" si="11"/>
        <v>0</v>
      </c>
      <c r="R16" s="987">
        <v>0</v>
      </c>
      <c r="S16" s="987">
        <f t="shared" si="12"/>
        <v>0</v>
      </c>
      <c r="T16" s="987">
        <f t="shared" si="13"/>
        <v>0</v>
      </c>
      <c r="U16" s="988">
        <f t="shared" si="14"/>
        <v>0</v>
      </c>
      <c r="V16" s="988">
        <f t="shared" si="14"/>
        <v>0</v>
      </c>
    </row>
    <row r="17" spans="1:22">
      <c r="A17" s="953">
        <v>11</v>
      </c>
      <c r="B17" s="954" t="s">
        <v>103</v>
      </c>
      <c r="C17" s="1080">
        <v>0</v>
      </c>
      <c r="D17" s="956">
        <f>'Table 3 Levels 1&amp;2'!AL18</f>
        <v>6852.9138435383502</v>
      </c>
      <c r="E17" s="1010">
        <f t="shared" si="2"/>
        <v>0</v>
      </c>
      <c r="F17" s="1010">
        <f>'Table 4 Level 3'!P16</f>
        <v>706.55</v>
      </c>
      <c r="G17" s="1010">
        <f t="shared" si="3"/>
        <v>0</v>
      </c>
      <c r="H17" s="957">
        <f t="shared" si="4"/>
        <v>0</v>
      </c>
      <c r="I17" s="1020">
        <f t="shared" si="5"/>
        <v>0</v>
      </c>
      <c r="J17" s="957">
        <f t="shared" si="6"/>
        <v>0</v>
      </c>
      <c r="K17" s="957">
        <v>0</v>
      </c>
      <c r="L17" s="957">
        <f t="shared" si="7"/>
        <v>0</v>
      </c>
      <c r="M17" s="957">
        <f t="shared" si="8"/>
        <v>0</v>
      </c>
      <c r="N17" s="981">
        <f>'Table 5C1A-Madison Prep'!N17</f>
        <v>3654</v>
      </c>
      <c r="O17" s="958">
        <f t="shared" si="9"/>
        <v>0</v>
      </c>
      <c r="P17" s="1028">
        <f t="shared" si="10"/>
        <v>0</v>
      </c>
      <c r="Q17" s="958">
        <f t="shared" si="11"/>
        <v>0</v>
      </c>
      <c r="R17" s="958">
        <v>0</v>
      </c>
      <c r="S17" s="958">
        <f t="shared" si="12"/>
        <v>0</v>
      </c>
      <c r="T17" s="958">
        <f t="shared" si="13"/>
        <v>0</v>
      </c>
      <c r="U17" s="959">
        <f t="shared" si="14"/>
        <v>0</v>
      </c>
      <c r="V17" s="959">
        <f t="shared" si="14"/>
        <v>0</v>
      </c>
    </row>
    <row r="18" spans="1:22">
      <c r="A18" s="960">
        <v>12</v>
      </c>
      <c r="B18" s="961" t="s">
        <v>104</v>
      </c>
      <c r="C18" s="1078">
        <v>0</v>
      </c>
      <c r="D18" s="962">
        <f>'Table 3 Levels 1&amp;2'!AL19</f>
        <v>1733.9056059356967</v>
      </c>
      <c r="E18" s="1011">
        <f t="shared" si="2"/>
        <v>0</v>
      </c>
      <c r="F18" s="1011">
        <f>'Table 4 Level 3'!P17</f>
        <v>1063.31</v>
      </c>
      <c r="G18" s="1011">
        <f t="shared" si="3"/>
        <v>0</v>
      </c>
      <c r="H18" s="982">
        <f t="shared" si="4"/>
        <v>0</v>
      </c>
      <c r="I18" s="1021">
        <f t="shared" si="5"/>
        <v>0</v>
      </c>
      <c r="J18" s="982">
        <f t="shared" si="6"/>
        <v>0</v>
      </c>
      <c r="K18" s="982">
        <v>0</v>
      </c>
      <c r="L18" s="982">
        <f t="shared" si="7"/>
        <v>0</v>
      </c>
      <c r="M18" s="982">
        <f t="shared" si="8"/>
        <v>0</v>
      </c>
      <c r="N18" s="981">
        <f>'Table 5C1A-Madison Prep'!N18</f>
        <v>13767</v>
      </c>
      <c r="O18" s="983">
        <f t="shared" si="9"/>
        <v>0</v>
      </c>
      <c r="P18" s="1029">
        <f t="shared" si="10"/>
        <v>0</v>
      </c>
      <c r="Q18" s="983">
        <f t="shared" si="11"/>
        <v>0</v>
      </c>
      <c r="R18" s="983">
        <v>0</v>
      </c>
      <c r="S18" s="983">
        <f t="shared" si="12"/>
        <v>0</v>
      </c>
      <c r="T18" s="983">
        <f t="shared" si="13"/>
        <v>0</v>
      </c>
      <c r="U18" s="984">
        <f t="shared" si="14"/>
        <v>0</v>
      </c>
      <c r="V18" s="984">
        <f t="shared" si="14"/>
        <v>0</v>
      </c>
    </row>
    <row r="19" spans="1:22">
      <c r="A19" s="960">
        <v>13</v>
      </c>
      <c r="B19" s="961" t="s">
        <v>105</v>
      </c>
      <c r="C19" s="1078">
        <v>0</v>
      </c>
      <c r="D19" s="962">
        <f>'Table 3 Levels 1&amp;2'!AL20</f>
        <v>6254.1238637730876</v>
      </c>
      <c r="E19" s="1011">
        <f t="shared" si="2"/>
        <v>0</v>
      </c>
      <c r="F19" s="1011">
        <f>'Table 4 Level 3'!P18</f>
        <v>749.43000000000006</v>
      </c>
      <c r="G19" s="1011">
        <f t="shared" si="3"/>
        <v>0</v>
      </c>
      <c r="H19" s="982">
        <f t="shared" si="4"/>
        <v>0</v>
      </c>
      <c r="I19" s="1021">
        <f t="shared" si="5"/>
        <v>0</v>
      </c>
      <c r="J19" s="982">
        <f t="shared" si="6"/>
        <v>0</v>
      </c>
      <c r="K19" s="982">
        <v>0</v>
      </c>
      <c r="L19" s="982">
        <f t="shared" si="7"/>
        <v>0</v>
      </c>
      <c r="M19" s="982">
        <f t="shared" si="8"/>
        <v>0</v>
      </c>
      <c r="N19" s="981">
        <f>'Table 5C1A-Madison Prep'!N19</f>
        <v>2525</v>
      </c>
      <c r="O19" s="983">
        <f t="shared" si="9"/>
        <v>0</v>
      </c>
      <c r="P19" s="1029">
        <f t="shared" si="10"/>
        <v>0</v>
      </c>
      <c r="Q19" s="983">
        <f t="shared" si="11"/>
        <v>0</v>
      </c>
      <c r="R19" s="983">
        <v>0</v>
      </c>
      <c r="S19" s="983">
        <f t="shared" si="12"/>
        <v>0</v>
      </c>
      <c r="T19" s="983">
        <f t="shared" si="13"/>
        <v>0</v>
      </c>
      <c r="U19" s="984">
        <f t="shared" si="14"/>
        <v>0</v>
      </c>
      <c r="V19" s="984">
        <f t="shared" si="14"/>
        <v>0</v>
      </c>
    </row>
    <row r="20" spans="1:22">
      <c r="A20" s="960">
        <v>14</v>
      </c>
      <c r="B20" s="961" t="s">
        <v>106</v>
      </c>
      <c r="C20" s="1078">
        <v>0</v>
      </c>
      <c r="D20" s="962">
        <f>'Table 3 Levels 1&amp;2'!AL21</f>
        <v>5377.9187438545459</v>
      </c>
      <c r="E20" s="1011">
        <f t="shared" si="2"/>
        <v>0</v>
      </c>
      <c r="F20" s="1011">
        <f>'Table 4 Level 3'!P19</f>
        <v>809.9799999999999</v>
      </c>
      <c r="G20" s="1011">
        <f t="shared" si="3"/>
        <v>0</v>
      </c>
      <c r="H20" s="982">
        <f t="shared" si="4"/>
        <v>0</v>
      </c>
      <c r="I20" s="1021">
        <f t="shared" si="5"/>
        <v>0</v>
      </c>
      <c r="J20" s="982">
        <f t="shared" si="6"/>
        <v>0</v>
      </c>
      <c r="K20" s="982">
        <v>0</v>
      </c>
      <c r="L20" s="982">
        <f t="shared" si="7"/>
        <v>0</v>
      </c>
      <c r="M20" s="982">
        <f t="shared" si="8"/>
        <v>0</v>
      </c>
      <c r="N20" s="981">
        <f>'Table 5C1A-Madison Prep'!N20</f>
        <v>3988</v>
      </c>
      <c r="O20" s="983">
        <f t="shared" si="9"/>
        <v>0</v>
      </c>
      <c r="P20" s="1029">
        <f t="shared" si="10"/>
        <v>0</v>
      </c>
      <c r="Q20" s="983">
        <f t="shared" si="11"/>
        <v>0</v>
      </c>
      <c r="R20" s="983">
        <v>0</v>
      </c>
      <c r="S20" s="983">
        <f t="shared" si="12"/>
        <v>0</v>
      </c>
      <c r="T20" s="983">
        <f t="shared" si="13"/>
        <v>0</v>
      </c>
      <c r="U20" s="984">
        <f t="shared" si="14"/>
        <v>0</v>
      </c>
      <c r="V20" s="984">
        <f t="shared" si="14"/>
        <v>0</v>
      </c>
    </row>
    <row r="21" spans="1:22">
      <c r="A21" s="963">
        <v>15</v>
      </c>
      <c r="B21" s="964" t="s">
        <v>107</v>
      </c>
      <c r="C21" s="1079">
        <v>0</v>
      </c>
      <c r="D21" s="965">
        <f>'Table 3 Levels 1&amp;2'!AL22</f>
        <v>5527.7651197617861</v>
      </c>
      <c r="E21" s="1012">
        <f t="shared" si="2"/>
        <v>0</v>
      </c>
      <c r="F21" s="1012">
        <f>'Table 4 Level 3'!P20</f>
        <v>553.79999999999995</v>
      </c>
      <c r="G21" s="1012">
        <f t="shared" si="3"/>
        <v>0</v>
      </c>
      <c r="H21" s="985">
        <f t="shared" si="4"/>
        <v>0</v>
      </c>
      <c r="I21" s="1022">
        <f t="shared" si="5"/>
        <v>0</v>
      </c>
      <c r="J21" s="985">
        <f t="shared" si="6"/>
        <v>0</v>
      </c>
      <c r="K21" s="985">
        <v>0</v>
      </c>
      <c r="L21" s="985">
        <f t="shared" si="7"/>
        <v>0</v>
      </c>
      <c r="M21" s="985">
        <f t="shared" si="8"/>
        <v>0</v>
      </c>
      <c r="N21" s="986">
        <f>'Table 5C1A-Madison Prep'!N21</f>
        <v>2544</v>
      </c>
      <c r="O21" s="987">
        <f t="shared" si="9"/>
        <v>0</v>
      </c>
      <c r="P21" s="1030">
        <f t="shared" si="10"/>
        <v>0</v>
      </c>
      <c r="Q21" s="987">
        <f t="shared" si="11"/>
        <v>0</v>
      </c>
      <c r="R21" s="987">
        <v>0</v>
      </c>
      <c r="S21" s="987">
        <f t="shared" si="12"/>
        <v>0</v>
      </c>
      <c r="T21" s="987">
        <f t="shared" si="13"/>
        <v>0</v>
      </c>
      <c r="U21" s="988">
        <f t="shared" si="14"/>
        <v>0</v>
      </c>
      <c r="V21" s="988">
        <f t="shared" si="14"/>
        <v>0</v>
      </c>
    </row>
    <row r="22" spans="1:22">
      <c r="A22" s="953">
        <v>16</v>
      </c>
      <c r="B22" s="954" t="s">
        <v>108</v>
      </c>
      <c r="C22" s="1080">
        <v>0</v>
      </c>
      <c r="D22" s="956">
        <f>'Table 3 Levels 1&amp;2'!AL23</f>
        <v>1530.3678845377474</v>
      </c>
      <c r="E22" s="1010">
        <f t="shared" si="2"/>
        <v>0</v>
      </c>
      <c r="F22" s="1010">
        <f>'Table 4 Level 3'!P21</f>
        <v>686.73</v>
      </c>
      <c r="G22" s="1010">
        <f t="shared" si="3"/>
        <v>0</v>
      </c>
      <c r="H22" s="957">
        <f t="shared" si="4"/>
        <v>0</v>
      </c>
      <c r="I22" s="1020">
        <f t="shared" si="5"/>
        <v>0</v>
      </c>
      <c r="J22" s="957">
        <f t="shared" si="6"/>
        <v>0</v>
      </c>
      <c r="K22" s="957">
        <v>0</v>
      </c>
      <c r="L22" s="957">
        <f t="shared" si="7"/>
        <v>0</v>
      </c>
      <c r="M22" s="957">
        <f t="shared" si="8"/>
        <v>0</v>
      </c>
      <c r="N22" s="981">
        <f>'Table 5C1A-Madison Prep'!N22</f>
        <v>12132</v>
      </c>
      <c r="O22" s="958">
        <f t="shared" si="9"/>
        <v>0</v>
      </c>
      <c r="P22" s="1028">
        <f t="shared" si="10"/>
        <v>0</v>
      </c>
      <c r="Q22" s="958">
        <f t="shared" si="11"/>
        <v>0</v>
      </c>
      <c r="R22" s="958">
        <v>0</v>
      </c>
      <c r="S22" s="958">
        <f t="shared" si="12"/>
        <v>0</v>
      </c>
      <c r="T22" s="958">
        <f t="shared" si="13"/>
        <v>0</v>
      </c>
      <c r="U22" s="959">
        <f t="shared" si="14"/>
        <v>0</v>
      </c>
      <c r="V22" s="959">
        <f t="shared" si="14"/>
        <v>0</v>
      </c>
    </row>
    <row r="23" spans="1:22">
      <c r="A23" s="960">
        <v>17</v>
      </c>
      <c r="B23" s="961" t="s">
        <v>109</v>
      </c>
      <c r="C23" s="1078">
        <f>ROUND(614*99%,0)</f>
        <v>608</v>
      </c>
      <c r="D23" s="962">
        <f>'Table 3 Levels 1&amp;2'!AL24</f>
        <v>3313.0666313017805</v>
      </c>
      <c r="E23" s="1011">
        <f t="shared" si="2"/>
        <v>2014344.5118314826</v>
      </c>
      <c r="F23" s="1011">
        <f>'Table 4 Level 3'!P22</f>
        <v>801.47762416806802</v>
      </c>
      <c r="G23" s="1011">
        <f t="shared" si="3"/>
        <v>487298.39549418533</v>
      </c>
      <c r="H23" s="982">
        <f t="shared" si="4"/>
        <v>2501642.9073256678</v>
      </c>
      <c r="I23" s="1021">
        <f t="shared" si="5"/>
        <v>-6254.1072683141692</v>
      </c>
      <c r="J23" s="982">
        <f t="shared" si="6"/>
        <v>2495388.8000573535</v>
      </c>
      <c r="K23" s="982">
        <v>0</v>
      </c>
      <c r="L23" s="982">
        <f t="shared" si="7"/>
        <v>2495388.8000573535</v>
      </c>
      <c r="M23" s="982">
        <f t="shared" si="8"/>
        <v>207949.06667144611</v>
      </c>
      <c r="N23" s="981">
        <f>'Table 5C1A-Madison Prep'!N23</f>
        <v>6764</v>
      </c>
      <c r="O23" s="983">
        <f t="shared" si="9"/>
        <v>4112512</v>
      </c>
      <c r="P23" s="1029">
        <f t="shared" si="10"/>
        <v>-10281.280000000001</v>
      </c>
      <c r="Q23" s="983">
        <f t="shared" si="11"/>
        <v>4102230.72</v>
      </c>
      <c r="R23" s="983">
        <v>0</v>
      </c>
      <c r="S23" s="983">
        <f t="shared" si="12"/>
        <v>4102230.72</v>
      </c>
      <c r="T23" s="983">
        <f t="shared" si="13"/>
        <v>341852.56</v>
      </c>
      <c r="U23" s="984">
        <f t="shared" si="14"/>
        <v>6597619.5200573541</v>
      </c>
      <c r="V23" s="984">
        <f t="shared" si="14"/>
        <v>549801.62667144614</v>
      </c>
    </row>
    <row r="24" spans="1:22">
      <c r="A24" s="960">
        <v>18</v>
      </c>
      <c r="B24" s="961" t="s">
        <v>110</v>
      </c>
      <c r="C24" s="1078">
        <v>0</v>
      </c>
      <c r="D24" s="962">
        <f>'Table 3 Levels 1&amp;2'!AL25</f>
        <v>5989.1351892854573</v>
      </c>
      <c r="E24" s="1011">
        <f t="shared" si="2"/>
        <v>0</v>
      </c>
      <c r="F24" s="1011">
        <f>'Table 4 Level 3'!P23</f>
        <v>845.94999999999993</v>
      </c>
      <c r="G24" s="1011">
        <f t="shared" si="3"/>
        <v>0</v>
      </c>
      <c r="H24" s="982">
        <f t="shared" si="4"/>
        <v>0</v>
      </c>
      <c r="I24" s="1021">
        <f t="shared" si="5"/>
        <v>0</v>
      </c>
      <c r="J24" s="982">
        <f t="shared" si="6"/>
        <v>0</v>
      </c>
      <c r="K24" s="982">
        <v>0</v>
      </c>
      <c r="L24" s="982">
        <f t="shared" si="7"/>
        <v>0</v>
      </c>
      <c r="M24" s="982">
        <f t="shared" si="8"/>
        <v>0</v>
      </c>
      <c r="N24" s="981">
        <f>'Table 5C1A-Madison Prep'!N24</f>
        <v>2925</v>
      </c>
      <c r="O24" s="983">
        <f t="shared" si="9"/>
        <v>0</v>
      </c>
      <c r="P24" s="1029">
        <f t="shared" si="10"/>
        <v>0</v>
      </c>
      <c r="Q24" s="983">
        <f t="shared" si="11"/>
        <v>0</v>
      </c>
      <c r="R24" s="983">
        <v>0</v>
      </c>
      <c r="S24" s="983">
        <f t="shared" si="12"/>
        <v>0</v>
      </c>
      <c r="T24" s="983">
        <f t="shared" si="13"/>
        <v>0</v>
      </c>
      <c r="U24" s="984">
        <f t="shared" si="14"/>
        <v>0</v>
      </c>
      <c r="V24" s="984">
        <f t="shared" si="14"/>
        <v>0</v>
      </c>
    </row>
    <row r="25" spans="1:22">
      <c r="A25" s="960">
        <v>19</v>
      </c>
      <c r="B25" s="961" t="s">
        <v>111</v>
      </c>
      <c r="C25" s="1078">
        <v>0</v>
      </c>
      <c r="D25" s="962">
        <f>'Table 3 Levels 1&amp;2'!AL26</f>
        <v>5315.8913399708035</v>
      </c>
      <c r="E25" s="1011">
        <f t="shared" si="2"/>
        <v>0</v>
      </c>
      <c r="F25" s="1011">
        <f>'Table 4 Level 3'!P24</f>
        <v>905.43</v>
      </c>
      <c r="G25" s="1011">
        <f t="shared" si="3"/>
        <v>0</v>
      </c>
      <c r="H25" s="982">
        <f t="shared" si="4"/>
        <v>0</v>
      </c>
      <c r="I25" s="1021">
        <f t="shared" si="5"/>
        <v>0</v>
      </c>
      <c r="J25" s="982">
        <f t="shared" si="6"/>
        <v>0</v>
      </c>
      <c r="K25" s="982">
        <v>0</v>
      </c>
      <c r="L25" s="982">
        <f t="shared" si="7"/>
        <v>0</v>
      </c>
      <c r="M25" s="982">
        <f t="shared" si="8"/>
        <v>0</v>
      </c>
      <c r="N25" s="981">
        <f>'Table 5C1A-Madison Prep'!N25</f>
        <v>2570</v>
      </c>
      <c r="O25" s="983">
        <f t="shared" si="9"/>
        <v>0</v>
      </c>
      <c r="P25" s="1029">
        <f t="shared" si="10"/>
        <v>0</v>
      </c>
      <c r="Q25" s="983">
        <f t="shared" si="11"/>
        <v>0</v>
      </c>
      <c r="R25" s="983">
        <v>0</v>
      </c>
      <c r="S25" s="983">
        <f t="shared" si="12"/>
        <v>0</v>
      </c>
      <c r="T25" s="983">
        <f t="shared" si="13"/>
        <v>0</v>
      </c>
      <c r="U25" s="984">
        <f t="shared" si="14"/>
        <v>0</v>
      </c>
      <c r="V25" s="984">
        <f t="shared" si="14"/>
        <v>0</v>
      </c>
    </row>
    <row r="26" spans="1:22">
      <c r="A26" s="963">
        <v>20</v>
      </c>
      <c r="B26" s="964" t="s">
        <v>112</v>
      </c>
      <c r="C26" s="1079">
        <v>0</v>
      </c>
      <c r="D26" s="965">
        <f>'Table 3 Levels 1&amp;2'!AL27</f>
        <v>5420.2042919205833</v>
      </c>
      <c r="E26" s="1012">
        <f t="shared" si="2"/>
        <v>0</v>
      </c>
      <c r="F26" s="1012">
        <f>'Table 4 Level 3'!P25</f>
        <v>586.16999999999996</v>
      </c>
      <c r="G26" s="1012">
        <f t="shared" si="3"/>
        <v>0</v>
      </c>
      <c r="H26" s="985">
        <f t="shared" si="4"/>
        <v>0</v>
      </c>
      <c r="I26" s="1022">
        <f t="shared" si="5"/>
        <v>0</v>
      </c>
      <c r="J26" s="985">
        <f t="shared" si="6"/>
        <v>0</v>
      </c>
      <c r="K26" s="985">
        <v>0</v>
      </c>
      <c r="L26" s="985">
        <f t="shared" si="7"/>
        <v>0</v>
      </c>
      <c r="M26" s="985">
        <f t="shared" si="8"/>
        <v>0</v>
      </c>
      <c r="N26" s="986">
        <f>'Table 5C1A-Madison Prep'!N26</f>
        <v>2420</v>
      </c>
      <c r="O26" s="987">
        <f t="shared" si="9"/>
        <v>0</v>
      </c>
      <c r="P26" s="1030">
        <f t="shared" si="10"/>
        <v>0</v>
      </c>
      <c r="Q26" s="987">
        <f t="shared" si="11"/>
        <v>0</v>
      </c>
      <c r="R26" s="987">
        <v>0</v>
      </c>
      <c r="S26" s="987">
        <f t="shared" si="12"/>
        <v>0</v>
      </c>
      <c r="T26" s="987">
        <f t="shared" si="13"/>
        <v>0</v>
      </c>
      <c r="U26" s="988">
        <f t="shared" si="14"/>
        <v>0</v>
      </c>
      <c r="V26" s="988">
        <f t="shared" si="14"/>
        <v>0</v>
      </c>
    </row>
    <row r="27" spans="1:22">
      <c r="A27" s="953">
        <v>21</v>
      </c>
      <c r="B27" s="954" t="s">
        <v>113</v>
      </c>
      <c r="C27" s="1080">
        <v>0</v>
      </c>
      <c r="D27" s="956">
        <f>'Table 3 Levels 1&amp;2'!AL28</f>
        <v>5724.5404916279067</v>
      </c>
      <c r="E27" s="1010">
        <f t="shared" si="2"/>
        <v>0</v>
      </c>
      <c r="F27" s="1010">
        <f>'Table 4 Level 3'!P26</f>
        <v>610.35</v>
      </c>
      <c r="G27" s="1010">
        <f t="shared" si="3"/>
        <v>0</v>
      </c>
      <c r="H27" s="957">
        <f t="shared" si="4"/>
        <v>0</v>
      </c>
      <c r="I27" s="1020">
        <f t="shared" si="5"/>
        <v>0</v>
      </c>
      <c r="J27" s="957">
        <f t="shared" si="6"/>
        <v>0</v>
      </c>
      <c r="K27" s="957">
        <v>0</v>
      </c>
      <c r="L27" s="957">
        <f t="shared" si="7"/>
        <v>0</v>
      </c>
      <c r="M27" s="957">
        <f t="shared" si="8"/>
        <v>0</v>
      </c>
      <c r="N27" s="981">
        <f>'Table 5C1A-Madison Prep'!N27</f>
        <v>2265</v>
      </c>
      <c r="O27" s="958">
        <f t="shared" si="9"/>
        <v>0</v>
      </c>
      <c r="P27" s="1028">
        <f t="shared" si="10"/>
        <v>0</v>
      </c>
      <c r="Q27" s="958">
        <f t="shared" si="11"/>
        <v>0</v>
      </c>
      <c r="R27" s="958">
        <v>0</v>
      </c>
      <c r="S27" s="958">
        <f t="shared" si="12"/>
        <v>0</v>
      </c>
      <c r="T27" s="958">
        <f t="shared" si="13"/>
        <v>0</v>
      </c>
      <c r="U27" s="959">
        <f t="shared" si="14"/>
        <v>0</v>
      </c>
      <c r="V27" s="959">
        <f t="shared" si="14"/>
        <v>0</v>
      </c>
    </row>
    <row r="28" spans="1:22">
      <c r="A28" s="960">
        <v>22</v>
      </c>
      <c r="B28" s="961" t="s">
        <v>114</v>
      </c>
      <c r="C28" s="1078">
        <v>0</v>
      </c>
      <c r="D28" s="962">
        <f>'Table 3 Levels 1&amp;2'!AL29</f>
        <v>6203.2933768722742</v>
      </c>
      <c r="E28" s="1011">
        <f t="shared" si="2"/>
        <v>0</v>
      </c>
      <c r="F28" s="1011">
        <f>'Table 4 Level 3'!P27</f>
        <v>496.36</v>
      </c>
      <c r="G28" s="1011">
        <f t="shared" si="3"/>
        <v>0</v>
      </c>
      <c r="H28" s="982">
        <f t="shared" si="4"/>
        <v>0</v>
      </c>
      <c r="I28" s="1021">
        <f t="shared" si="5"/>
        <v>0</v>
      </c>
      <c r="J28" s="982">
        <f t="shared" si="6"/>
        <v>0</v>
      </c>
      <c r="K28" s="982">
        <v>0</v>
      </c>
      <c r="L28" s="982">
        <f t="shared" si="7"/>
        <v>0</v>
      </c>
      <c r="M28" s="982">
        <f t="shared" si="8"/>
        <v>0</v>
      </c>
      <c r="N28" s="981">
        <f>'Table 5C1A-Madison Prep'!N28</f>
        <v>1438</v>
      </c>
      <c r="O28" s="983">
        <f t="shared" si="9"/>
        <v>0</v>
      </c>
      <c r="P28" s="1029">
        <f t="shared" si="10"/>
        <v>0</v>
      </c>
      <c r="Q28" s="983">
        <f t="shared" si="11"/>
        <v>0</v>
      </c>
      <c r="R28" s="983">
        <v>0</v>
      </c>
      <c r="S28" s="983">
        <f t="shared" si="12"/>
        <v>0</v>
      </c>
      <c r="T28" s="983">
        <f t="shared" si="13"/>
        <v>0</v>
      </c>
      <c r="U28" s="984">
        <f t="shared" si="14"/>
        <v>0</v>
      </c>
      <c r="V28" s="984">
        <f t="shared" si="14"/>
        <v>0</v>
      </c>
    </row>
    <row r="29" spans="1:22">
      <c r="A29" s="960">
        <v>23</v>
      </c>
      <c r="B29" s="961" t="s">
        <v>115</v>
      </c>
      <c r="C29" s="1078">
        <v>0</v>
      </c>
      <c r="D29" s="962">
        <f>'Table 3 Levels 1&amp;2'!AL30</f>
        <v>4846.0802490067681</v>
      </c>
      <c r="E29" s="1011">
        <f t="shared" si="2"/>
        <v>0</v>
      </c>
      <c r="F29" s="1011">
        <f>'Table 4 Level 3'!P28</f>
        <v>688.58</v>
      </c>
      <c r="G29" s="1011">
        <f t="shared" si="3"/>
        <v>0</v>
      </c>
      <c r="H29" s="982">
        <f t="shared" si="4"/>
        <v>0</v>
      </c>
      <c r="I29" s="1021">
        <f t="shared" si="5"/>
        <v>0</v>
      </c>
      <c r="J29" s="982">
        <f t="shared" si="6"/>
        <v>0</v>
      </c>
      <c r="K29" s="982">
        <v>0</v>
      </c>
      <c r="L29" s="982">
        <f t="shared" si="7"/>
        <v>0</v>
      </c>
      <c r="M29" s="982">
        <f t="shared" si="8"/>
        <v>0</v>
      </c>
      <c r="N29" s="981">
        <f>'Table 5C1A-Madison Prep'!N29</f>
        <v>3386</v>
      </c>
      <c r="O29" s="983">
        <f t="shared" si="9"/>
        <v>0</v>
      </c>
      <c r="P29" s="1029">
        <f t="shared" si="10"/>
        <v>0</v>
      </c>
      <c r="Q29" s="983">
        <f t="shared" si="11"/>
        <v>0</v>
      </c>
      <c r="R29" s="983">
        <v>0</v>
      </c>
      <c r="S29" s="983">
        <f t="shared" si="12"/>
        <v>0</v>
      </c>
      <c r="T29" s="983">
        <f t="shared" si="13"/>
        <v>0</v>
      </c>
      <c r="U29" s="984">
        <f t="shared" si="14"/>
        <v>0</v>
      </c>
      <c r="V29" s="984">
        <f t="shared" si="14"/>
        <v>0</v>
      </c>
    </row>
    <row r="30" spans="1:22">
      <c r="A30" s="960">
        <v>24</v>
      </c>
      <c r="B30" s="961" t="s">
        <v>116</v>
      </c>
      <c r="C30" s="1078">
        <v>0</v>
      </c>
      <c r="D30" s="962">
        <f>'Table 3 Levels 1&amp;2'!AL31</f>
        <v>2764.1216755319151</v>
      </c>
      <c r="E30" s="1011">
        <f t="shared" si="2"/>
        <v>0</v>
      </c>
      <c r="F30" s="1011">
        <f>'Table 4 Level 3'!P29</f>
        <v>854.24999999999989</v>
      </c>
      <c r="G30" s="1011">
        <f t="shared" si="3"/>
        <v>0</v>
      </c>
      <c r="H30" s="982">
        <f t="shared" si="4"/>
        <v>0</v>
      </c>
      <c r="I30" s="1021">
        <f t="shared" si="5"/>
        <v>0</v>
      </c>
      <c r="J30" s="982">
        <f t="shared" si="6"/>
        <v>0</v>
      </c>
      <c r="K30" s="982">
        <v>0</v>
      </c>
      <c r="L30" s="982">
        <f t="shared" si="7"/>
        <v>0</v>
      </c>
      <c r="M30" s="982">
        <f t="shared" si="8"/>
        <v>0</v>
      </c>
      <c r="N30" s="981">
        <f>'Table 5C1A-Madison Prep'!N30</f>
        <v>9761</v>
      </c>
      <c r="O30" s="983">
        <f t="shared" si="9"/>
        <v>0</v>
      </c>
      <c r="P30" s="1029">
        <f t="shared" si="10"/>
        <v>0</v>
      </c>
      <c r="Q30" s="983">
        <f t="shared" si="11"/>
        <v>0</v>
      </c>
      <c r="R30" s="983">
        <v>0</v>
      </c>
      <c r="S30" s="983">
        <f t="shared" si="12"/>
        <v>0</v>
      </c>
      <c r="T30" s="983">
        <f t="shared" si="13"/>
        <v>0</v>
      </c>
      <c r="U30" s="984">
        <f t="shared" si="14"/>
        <v>0</v>
      </c>
      <c r="V30" s="984">
        <f t="shared" si="14"/>
        <v>0</v>
      </c>
    </row>
    <row r="31" spans="1:22">
      <c r="A31" s="963">
        <v>25</v>
      </c>
      <c r="B31" s="964" t="s">
        <v>117</v>
      </c>
      <c r="C31" s="1079">
        <v>0</v>
      </c>
      <c r="D31" s="965">
        <f>'Table 3 Levels 1&amp;2'!AL32</f>
        <v>3867.4480692053257</v>
      </c>
      <c r="E31" s="1012">
        <f t="shared" si="2"/>
        <v>0</v>
      </c>
      <c r="F31" s="1012">
        <f>'Table 4 Level 3'!P30</f>
        <v>653.73</v>
      </c>
      <c r="G31" s="1012">
        <f t="shared" si="3"/>
        <v>0</v>
      </c>
      <c r="H31" s="985">
        <f t="shared" si="4"/>
        <v>0</v>
      </c>
      <c r="I31" s="1022">
        <f t="shared" si="5"/>
        <v>0</v>
      </c>
      <c r="J31" s="985">
        <f t="shared" si="6"/>
        <v>0</v>
      </c>
      <c r="K31" s="985">
        <v>0</v>
      </c>
      <c r="L31" s="985">
        <f t="shared" si="7"/>
        <v>0</v>
      </c>
      <c r="M31" s="985">
        <f t="shared" si="8"/>
        <v>0</v>
      </c>
      <c r="N31" s="986">
        <f>'Table 5C1A-Madison Prep'!N31</f>
        <v>4842</v>
      </c>
      <c r="O31" s="987">
        <f t="shared" si="9"/>
        <v>0</v>
      </c>
      <c r="P31" s="1030">
        <f t="shared" si="10"/>
        <v>0</v>
      </c>
      <c r="Q31" s="987">
        <f t="shared" si="11"/>
        <v>0</v>
      </c>
      <c r="R31" s="987">
        <v>0</v>
      </c>
      <c r="S31" s="987">
        <f t="shared" si="12"/>
        <v>0</v>
      </c>
      <c r="T31" s="987">
        <f t="shared" si="13"/>
        <v>0</v>
      </c>
      <c r="U31" s="988">
        <f t="shared" si="14"/>
        <v>0</v>
      </c>
      <c r="V31" s="988">
        <f t="shared" si="14"/>
        <v>0</v>
      </c>
    </row>
    <row r="32" spans="1:22">
      <c r="A32" s="953">
        <v>26</v>
      </c>
      <c r="B32" s="954" t="s">
        <v>118</v>
      </c>
      <c r="C32" s="1080">
        <v>0</v>
      </c>
      <c r="D32" s="956">
        <f>'Table 3 Levels 1&amp;2'!AL33</f>
        <v>3293.481526790355</v>
      </c>
      <c r="E32" s="1010">
        <f t="shared" si="2"/>
        <v>0</v>
      </c>
      <c r="F32" s="1010">
        <f>'Table 4 Level 3'!P31</f>
        <v>836.83</v>
      </c>
      <c r="G32" s="1010">
        <f t="shared" si="3"/>
        <v>0</v>
      </c>
      <c r="H32" s="957">
        <f t="shared" si="4"/>
        <v>0</v>
      </c>
      <c r="I32" s="1020">
        <f t="shared" si="5"/>
        <v>0</v>
      </c>
      <c r="J32" s="957">
        <f t="shared" si="6"/>
        <v>0</v>
      </c>
      <c r="K32" s="957">
        <v>0</v>
      </c>
      <c r="L32" s="957">
        <f t="shared" si="7"/>
        <v>0</v>
      </c>
      <c r="M32" s="957">
        <f t="shared" si="8"/>
        <v>0</v>
      </c>
      <c r="N32" s="981">
        <f>'Table 5C1A-Madison Prep'!N32</f>
        <v>5301</v>
      </c>
      <c r="O32" s="958">
        <f t="shared" si="9"/>
        <v>0</v>
      </c>
      <c r="P32" s="1028">
        <f t="shared" si="10"/>
        <v>0</v>
      </c>
      <c r="Q32" s="958">
        <f t="shared" si="11"/>
        <v>0</v>
      </c>
      <c r="R32" s="958">
        <v>0</v>
      </c>
      <c r="S32" s="958">
        <f t="shared" si="12"/>
        <v>0</v>
      </c>
      <c r="T32" s="958">
        <f t="shared" si="13"/>
        <v>0</v>
      </c>
      <c r="U32" s="959">
        <f t="shared" si="14"/>
        <v>0</v>
      </c>
      <c r="V32" s="959">
        <f t="shared" si="14"/>
        <v>0</v>
      </c>
    </row>
    <row r="33" spans="1:22">
      <c r="A33" s="960">
        <v>27</v>
      </c>
      <c r="B33" s="961" t="s">
        <v>119</v>
      </c>
      <c r="C33" s="1081">
        <v>0</v>
      </c>
      <c r="D33" s="966">
        <f>'Table 3 Levels 1&amp;2'!AL34</f>
        <v>5680.7727517381973</v>
      </c>
      <c r="E33" s="1013">
        <f t="shared" si="2"/>
        <v>0</v>
      </c>
      <c r="F33" s="1013">
        <f>'Table 4 Level 3'!P32</f>
        <v>693.06</v>
      </c>
      <c r="G33" s="1013">
        <f t="shared" si="3"/>
        <v>0</v>
      </c>
      <c r="H33" s="989">
        <f t="shared" si="4"/>
        <v>0</v>
      </c>
      <c r="I33" s="1023">
        <f t="shared" si="5"/>
        <v>0</v>
      </c>
      <c r="J33" s="989">
        <f t="shared" si="6"/>
        <v>0</v>
      </c>
      <c r="K33" s="989">
        <v>0</v>
      </c>
      <c r="L33" s="989">
        <f t="shared" si="7"/>
        <v>0</v>
      </c>
      <c r="M33" s="989">
        <f t="shared" si="8"/>
        <v>0</v>
      </c>
      <c r="N33" s="981">
        <f>'Table 5C1A-Madison Prep'!N33</f>
        <v>3252</v>
      </c>
      <c r="O33" s="983">
        <f t="shared" si="9"/>
        <v>0</v>
      </c>
      <c r="P33" s="1029">
        <f t="shared" si="10"/>
        <v>0</v>
      </c>
      <c r="Q33" s="983">
        <f t="shared" si="11"/>
        <v>0</v>
      </c>
      <c r="R33" s="983">
        <v>0</v>
      </c>
      <c r="S33" s="983">
        <f t="shared" si="12"/>
        <v>0</v>
      </c>
      <c r="T33" s="983">
        <f t="shared" si="13"/>
        <v>0</v>
      </c>
      <c r="U33" s="984">
        <f t="shared" si="14"/>
        <v>0</v>
      </c>
      <c r="V33" s="984">
        <f t="shared" si="14"/>
        <v>0</v>
      </c>
    </row>
    <row r="34" spans="1:22">
      <c r="A34" s="960">
        <v>28</v>
      </c>
      <c r="B34" s="961" t="s">
        <v>120</v>
      </c>
      <c r="C34" s="1081">
        <v>0</v>
      </c>
      <c r="D34" s="966">
        <f>'Table 3 Levels 1&amp;2'!AL35</f>
        <v>3163.1694438483169</v>
      </c>
      <c r="E34" s="1013">
        <f t="shared" si="2"/>
        <v>0</v>
      </c>
      <c r="F34" s="1013">
        <f>'Table 4 Level 3'!P33</f>
        <v>694.4</v>
      </c>
      <c r="G34" s="1013">
        <f t="shared" si="3"/>
        <v>0</v>
      </c>
      <c r="H34" s="989">
        <f t="shared" si="4"/>
        <v>0</v>
      </c>
      <c r="I34" s="1023">
        <f t="shared" si="5"/>
        <v>0</v>
      </c>
      <c r="J34" s="989">
        <f t="shared" si="6"/>
        <v>0</v>
      </c>
      <c r="K34" s="989">
        <v>0</v>
      </c>
      <c r="L34" s="989">
        <f t="shared" si="7"/>
        <v>0</v>
      </c>
      <c r="M34" s="989">
        <f t="shared" si="8"/>
        <v>0</v>
      </c>
      <c r="N34" s="981">
        <f>'Table 5C1A-Madison Prep'!N34</f>
        <v>5361</v>
      </c>
      <c r="O34" s="983">
        <f t="shared" si="9"/>
        <v>0</v>
      </c>
      <c r="P34" s="1029">
        <f t="shared" si="10"/>
        <v>0</v>
      </c>
      <c r="Q34" s="983">
        <f t="shared" si="11"/>
        <v>0</v>
      </c>
      <c r="R34" s="983">
        <v>0</v>
      </c>
      <c r="S34" s="983">
        <f t="shared" si="12"/>
        <v>0</v>
      </c>
      <c r="T34" s="983">
        <f t="shared" si="13"/>
        <v>0</v>
      </c>
      <c r="U34" s="984">
        <f t="shared" si="14"/>
        <v>0</v>
      </c>
      <c r="V34" s="984">
        <f t="shared" si="14"/>
        <v>0</v>
      </c>
    </row>
    <row r="35" spans="1:22">
      <c r="A35" s="960">
        <v>29</v>
      </c>
      <c r="B35" s="961" t="s">
        <v>121</v>
      </c>
      <c r="C35" s="1081">
        <v>0</v>
      </c>
      <c r="D35" s="966">
        <f>'Table 3 Levels 1&amp;2'!AL36</f>
        <v>3952.5586133052648</v>
      </c>
      <c r="E35" s="1013">
        <f t="shared" si="2"/>
        <v>0</v>
      </c>
      <c r="F35" s="1013">
        <f>'Table 4 Level 3'!P34</f>
        <v>754.94999999999993</v>
      </c>
      <c r="G35" s="1013">
        <f t="shared" si="3"/>
        <v>0</v>
      </c>
      <c r="H35" s="989">
        <f t="shared" si="4"/>
        <v>0</v>
      </c>
      <c r="I35" s="1023">
        <f t="shared" si="5"/>
        <v>0</v>
      </c>
      <c r="J35" s="989">
        <f t="shared" si="6"/>
        <v>0</v>
      </c>
      <c r="K35" s="989">
        <v>0</v>
      </c>
      <c r="L35" s="989">
        <f t="shared" si="7"/>
        <v>0</v>
      </c>
      <c r="M35" s="989">
        <f t="shared" si="8"/>
        <v>0</v>
      </c>
      <c r="N35" s="981">
        <f>'Table 5C1A-Madison Prep'!N35</f>
        <v>4763</v>
      </c>
      <c r="O35" s="983">
        <f t="shared" si="9"/>
        <v>0</v>
      </c>
      <c r="P35" s="1029">
        <f t="shared" si="10"/>
        <v>0</v>
      </c>
      <c r="Q35" s="983">
        <f t="shared" si="11"/>
        <v>0</v>
      </c>
      <c r="R35" s="983">
        <v>0</v>
      </c>
      <c r="S35" s="983">
        <f t="shared" si="12"/>
        <v>0</v>
      </c>
      <c r="T35" s="983">
        <f t="shared" si="13"/>
        <v>0</v>
      </c>
      <c r="U35" s="984">
        <f t="shared" si="14"/>
        <v>0</v>
      </c>
      <c r="V35" s="984">
        <f t="shared" si="14"/>
        <v>0</v>
      </c>
    </row>
    <row r="36" spans="1:22">
      <c r="A36" s="963">
        <v>30</v>
      </c>
      <c r="B36" s="964" t="s">
        <v>122</v>
      </c>
      <c r="C36" s="1082">
        <v>0</v>
      </c>
      <c r="D36" s="967">
        <f>'Table 3 Levels 1&amp;2'!AL37</f>
        <v>5648.6510465852989</v>
      </c>
      <c r="E36" s="1014">
        <f t="shared" si="2"/>
        <v>0</v>
      </c>
      <c r="F36" s="1014">
        <f>'Table 4 Level 3'!P35</f>
        <v>727.17</v>
      </c>
      <c r="G36" s="1014">
        <f t="shared" si="3"/>
        <v>0</v>
      </c>
      <c r="H36" s="990">
        <f t="shared" si="4"/>
        <v>0</v>
      </c>
      <c r="I36" s="1024">
        <f t="shared" si="5"/>
        <v>0</v>
      </c>
      <c r="J36" s="990">
        <f t="shared" si="6"/>
        <v>0</v>
      </c>
      <c r="K36" s="990">
        <v>0</v>
      </c>
      <c r="L36" s="990">
        <f t="shared" si="7"/>
        <v>0</v>
      </c>
      <c r="M36" s="990">
        <f t="shared" si="8"/>
        <v>0</v>
      </c>
      <c r="N36" s="986">
        <f>'Table 5C1A-Madison Prep'!N36</f>
        <v>3236</v>
      </c>
      <c r="O36" s="987">
        <f t="shared" si="9"/>
        <v>0</v>
      </c>
      <c r="P36" s="1030">
        <f t="shared" si="10"/>
        <v>0</v>
      </c>
      <c r="Q36" s="987">
        <f t="shared" si="11"/>
        <v>0</v>
      </c>
      <c r="R36" s="987">
        <v>0</v>
      </c>
      <c r="S36" s="987">
        <f t="shared" si="12"/>
        <v>0</v>
      </c>
      <c r="T36" s="987">
        <f t="shared" si="13"/>
        <v>0</v>
      </c>
      <c r="U36" s="988">
        <f t="shared" si="14"/>
        <v>0</v>
      </c>
      <c r="V36" s="988">
        <f t="shared" si="14"/>
        <v>0</v>
      </c>
    </row>
    <row r="37" spans="1:22">
      <c r="A37" s="953">
        <v>31</v>
      </c>
      <c r="B37" s="954" t="s">
        <v>123</v>
      </c>
      <c r="C37" s="1083">
        <v>0</v>
      </c>
      <c r="D37" s="968">
        <f>'Table 3 Levels 1&amp;2'!AL38</f>
        <v>4348.9307899232972</v>
      </c>
      <c r="E37" s="1015">
        <f t="shared" si="2"/>
        <v>0</v>
      </c>
      <c r="F37" s="1015">
        <f>'Table 4 Level 3'!P36</f>
        <v>620.83000000000004</v>
      </c>
      <c r="G37" s="1015">
        <f t="shared" si="3"/>
        <v>0</v>
      </c>
      <c r="H37" s="991">
        <f t="shared" si="4"/>
        <v>0</v>
      </c>
      <c r="I37" s="1025">
        <f t="shared" si="5"/>
        <v>0</v>
      </c>
      <c r="J37" s="991">
        <f t="shared" si="6"/>
        <v>0</v>
      </c>
      <c r="K37" s="991">
        <v>0</v>
      </c>
      <c r="L37" s="991">
        <f t="shared" si="7"/>
        <v>0</v>
      </c>
      <c r="M37" s="991">
        <f t="shared" si="8"/>
        <v>0</v>
      </c>
      <c r="N37" s="981">
        <f>'Table 5C1A-Madison Prep'!N37</f>
        <v>4795</v>
      </c>
      <c r="O37" s="958">
        <f t="shared" si="9"/>
        <v>0</v>
      </c>
      <c r="P37" s="1028">
        <f t="shared" si="10"/>
        <v>0</v>
      </c>
      <c r="Q37" s="958">
        <f t="shared" si="11"/>
        <v>0</v>
      </c>
      <c r="R37" s="958">
        <v>0</v>
      </c>
      <c r="S37" s="958">
        <f t="shared" si="12"/>
        <v>0</v>
      </c>
      <c r="T37" s="958">
        <f t="shared" si="13"/>
        <v>0</v>
      </c>
      <c r="U37" s="959">
        <f t="shared" si="14"/>
        <v>0</v>
      </c>
      <c r="V37" s="959">
        <f t="shared" si="14"/>
        <v>0</v>
      </c>
    </row>
    <row r="38" spans="1:22">
      <c r="A38" s="960">
        <v>32</v>
      </c>
      <c r="B38" s="961" t="s">
        <v>124</v>
      </c>
      <c r="C38" s="1081">
        <v>0</v>
      </c>
      <c r="D38" s="966">
        <f>'Table 3 Levels 1&amp;2'!AL39</f>
        <v>5531.5157655456787</v>
      </c>
      <c r="E38" s="1013">
        <f t="shared" si="2"/>
        <v>0</v>
      </c>
      <c r="F38" s="1013">
        <f>'Table 4 Level 3'!P37</f>
        <v>559.77</v>
      </c>
      <c r="G38" s="1013">
        <f t="shared" si="3"/>
        <v>0</v>
      </c>
      <c r="H38" s="989">
        <f t="shared" si="4"/>
        <v>0</v>
      </c>
      <c r="I38" s="1023">
        <f t="shared" si="5"/>
        <v>0</v>
      </c>
      <c r="J38" s="989">
        <f t="shared" si="6"/>
        <v>0</v>
      </c>
      <c r="K38" s="989">
        <v>0</v>
      </c>
      <c r="L38" s="989">
        <f t="shared" si="7"/>
        <v>0</v>
      </c>
      <c r="M38" s="989">
        <f t="shared" si="8"/>
        <v>0</v>
      </c>
      <c r="N38" s="981">
        <f>'Table 5C1A-Madison Prep'!N38</f>
        <v>2109</v>
      </c>
      <c r="O38" s="983">
        <f t="shared" si="9"/>
        <v>0</v>
      </c>
      <c r="P38" s="1029">
        <f t="shared" si="10"/>
        <v>0</v>
      </c>
      <c r="Q38" s="983">
        <f t="shared" si="11"/>
        <v>0</v>
      </c>
      <c r="R38" s="983">
        <v>0</v>
      </c>
      <c r="S38" s="983">
        <f t="shared" si="12"/>
        <v>0</v>
      </c>
      <c r="T38" s="983">
        <f t="shared" si="13"/>
        <v>0</v>
      </c>
      <c r="U38" s="984">
        <f t="shared" si="14"/>
        <v>0</v>
      </c>
      <c r="V38" s="984">
        <f t="shared" si="14"/>
        <v>0</v>
      </c>
    </row>
    <row r="39" spans="1:22">
      <c r="A39" s="960">
        <v>33</v>
      </c>
      <c r="B39" s="961" t="s">
        <v>125</v>
      </c>
      <c r="C39" s="1081">
        <v>0</v>
      </c>
      <c r="D39" s="966">
        <f>'Table 3 Levels 1&amp;2'!AL40</f>
        <v>5329.5444226517857</v>
      </c>
      <c r="E39" s="1013">
        <f t="shared" si="2"/>
        <v>0</v>
      </c>
      <c r="F39" s="1013">
        <f>'Table 4 Level 3'!P38</f>
        <v>655.31000000000006</v>
      </c>
      <c r="G39" s="1013">
        <f t="shared" si="3"/>
        <v>0</v>
      </c>
      <c r="H39" s="989">
        <f t="shared" si="4"/>
        <v>0</v>
      </c>
      <c r="I39" s="1023">
        <f t="shared" si="5"/>
        <v>0</v>
      </c>
      <c r="J39" s="989">
        <f t="shared" si="6"/>
        <v>0</v>
      </c>
      <c r="K39" s="989">
        <v>0</v>
      </c>
      <c r="L39" s="989">
        <f t="shared" si="7"/>
        <v>0</v>
      </c>
      <c r="M39" s="989">
        <f t="shared" si="8"/>
        <v>0</v>
      </c>
      <c r="N39" s="981">
        <f>'Table 5C1A-Madison Prep'!N39</f>
        <v>2649</v>
      </c>
      <c r="O39" s="983">
        <f t="shared" si="9"/>
        <v>0</v>
      </c>
      <c r="P39" s="1029">
        <f t="shared" si="10"/>
        <v>0</v>
      </c>
      <c r="Q39" s="983">
        <f t="shared" si="11"/>
        <v>0</v>
      </c>
      <c r="R39" s="983">
        <v>0</v>
      </c>
      <c r="S39" s="983">
        <f t="shared" si="12"/>
        <v>0</v>
      </c>
      <c r="T39" s="983">
        <f t="shared" si="13"/>
        <v>0</v>
      </c>
      <c r="U39" s="984">
        <f t="shared" si="14"/>
        <v>0</v>
      </c>
      <c r="V39" s="984">
        <f t="shared" si="14"/>
        <v>0</v>
      </c>
    </row>
    <row r="40" spans="1:22">
      <c r="A40" s="960">
        <v>34</v>
      </c>
      <c r="B40" s="961" t="s">
        <v>126</v>
      </c>
      <c r="C40" s="1081">
        <v>0</v>
      </c>
      <c r="D40" s="966">
        <f>'Table 3 Levels 1&amp;2'!AL41</f>
        <v>6003.632932007491</v>
      </c>
      <c r="E40" s="1013">
        <f t="shared" si="2"/>
        <v>0</v>
      </c>
      <c r="F40" s="1013">
        <f>'Table 4 Level 3'!P39</f>
        <v>644.11000000000013</v>
      </c>
      <c r="G40" s="1013">
        <f t="shared" si="3"/>
        <v>0</v>
      </c>
      <c r="H40" s="989">
        <f t="shared" si="4"/>
        <v>0</v>
      </c>
      <c r="I40" s="1023">
        <f t="shared" si="5"/>
        <v>0</v>
      </c>
      <c r="J40" s="989">
        <f t="shared" si="6"/>
        <v>0</v>
      </c>
      <c r="K40" s="989">
        <v>0</v>
      </c>
      <c r="L40" s="989">
        <f t="shared" si="7"/>
        <v>0</v>
      </c>
      <c r="M40" s="989">
        <f t="shared" si="8"/>
        <v>0</v>
      </c>
      <c r="N40" s="981">
        <f>'Table 5C1A-Madison Prep'!N40</f>
        <v>2817</v>
      </c>
      <c r="O40" s="983">
        <f t="shared" si="9"/>
        <v>0</v>
      </c>
      <c r="P40" s="1029">
        <f t="shared" si="10"/>
        <v>0</v>
      </c>
      <c r="Q40" s="983">
        <f t="shared" si="11"/>
        <v>0</v>
      </c>
      <c r="R40" s="983">
        <v>0</v>
      </c>
      <c r="S40" s="983">
        <f t="shared" si="12"/>
        <v>0</v>
      </c>
      <c r="T40" s="983">
        <f t="shared" si="13"/>
        <v>0</v>
      </c>
      <c r="U40" s="984">
        <f t="shared" si="14"/>
        <v>0</v>
      </c>
      <c r="V40" s="984">
        <f t="shared" si="14"/>
        <v>0</v>
      </c>
    </row>
    <row r="41" spans="1:22">
      <c r="A41" s="963">
        <v>35</v>
      </c>
      <c r="B41" s="964" t="s">
        <v>127</v>
      </c>
      <c r="C41" s="1082">
        <v>0</v>
      </c>
      <c r="D41" s="967">
        <f>'Table 3 Levels 1&amp;2'!AL42</f>
        <v>4607.1606416222867</v>
      </c>
      <c r="E41" s="1014">
        <f t="shared" si="2"/>
        <v>0</v>
      </c>
      <c r="F41" s="1014">
        <f>'Table 4 Level 3'!P40</f>
        <v>537.96</v>
      </c>
      <c r="G41" s="1014">
        <f t="shared" si="3"/>
        <v>0</v>
      </c>
      <c r="H41" s="990">
        <f t="shared" si="4"/>
        <v>0</v>
      </c>
      <c r="I41" s="1024">
        <f t="shared" si="5"/>
        <v>0</v>
      </c>
      <c r="J41" s="990">
        <f t="shared" si="6"/>
        <v>0</v>
      </c>
      <c r="K41" s="990">
        <v>0</v>
      </c>
      <c r="L41" s="990">
        <f t="shared" si="7"/>
        <v>0</v>
      </c>
      <c r="M41" s="990">
        <f t="shared" si="8"/>
        <v>0</v>
      </c>
      <c r="N41" s="986">
        <f>'Table 5C1A-Madison Prep'!N41</f>
        <v>3298</v>
      </c>
      <c r="O41" s="987">
        <f t="shared" si="9"/>
        <v>0</v>
      </c>
      <c r="P41" s="1030">
        <f t="shared" si="10"/>
        <v>0</v>
      </c>
      <c r="Q41" s="987">
        <f t="shared" si="11"/>
        <v>0</v>
      </c>
      <c r="R41" s="987">
        <v>0</v>
      </c>
      <c r="S41" s="987">
        <f t="shared" si="12"/>
        <v>0</v>
      </c>
      <c r="T41" s="987">
        <f t="shared" si="13"/>
        <v>0</v>
      </c>
      <c r="U41" s="988">
        <f t="shared" si="14"/>
        <v>0</v>
      </c>
      <c r="V41" s="988">
        <f t="shared" si="14"/>
        <v>0</v>
      </c>
    </row>
    <row r="42" spans="1:22">
      <c r="A42" s="953">
        <v>36</v>
      </c>
      <c r="B42" s="954" t="s">
        <v>128</v>
      </c>
      <c r="C42" s="1083">
        <v>0</v>
      </c>
      <c r="D42" s="968">
        <f>'Table 3 Levels 1&amp;2'!AL43</f>
        <v>3520.4894337711748</v>
      </c>
      <c r="E42" s="1015">
        <f t="shared" si="2"/>
        <v>0</v>
      </c>
      <c r="F42" s="1015">
        <v>746.0335616438357</v>
      </c>
      <c r="G42" s="1015">
        <f t="shared" si="3"/>
        <v>0</v>
      </c>
      <c r="H42" s="991">
        <f t="shared" si="4"/>
        <v>0</v>
      </c>
      <c r="I42" s="1025">
        <f t="shared" si="5"/>
        <v>0</v>
      </c>
      <c r="J42" s="991">
        <f t="shared" si="6"/>
        <v>0</v>
      </c>
      <c r="K42" s="991">
        <v>0</v>
      </c>
      <c r="L42" s="991">
        <f t="shared" si="7"/>
        <v>0</v>
      </c>
      <c r="M42" s="991">
        <f t="shared" si="8"/>
        <v>0</v>
      </c>
      <c r="N42" s="981">
        <f>'Table 5C1A-Madison Prep'!N42</f>
        <v>5442</v>
      </c>
      <c r="O42" s="958">
        <f t="shared" si="9"/>
        <v>0</v>
      </c>
      <c r="P42" s="1028">
        <f t="shared" si="10"/>
        <v>0</v>
      </c>
      <c r="Q42" s="958">
        <f t="shared" si="11"/>
        <v>0</v>
      </c>
      <c r="R42" s="958">
        <v>0</v>
      </c>
      <c r="S42" s="958">
        <f t="shared" si="12"/>
        <v>0</v>
      </c>
      <c r="T42" s="958">
        <f t="shared" si="13"/>
        <v>0</v>
      </c>
      <c r="U42" s="959">
        <f t="shared" si="14"/>
        <v>0</v>
      </c>
      <c r="V42" s="959">
        <f t="shared" si="14"/>
        <v>0</v>
      </c>
    </row>
    <row r="43" spans="1:22">
      <c r="A43" s="960">
        <v>37</v>
      </c>
      <c r="B43" s="961" t="s">
        <v>129</v>
      </c>
      <c r="C43" s="1081">
        <v>0</v>
      </c>
      <c r="D43" s="966">
        <f>'Table 3 Levels 1&amp;2'!AL44</f>
        <v>5503.7595641818853</v>
      </c>
      <c r="E43" s="1013">
        <f t="shared" si="2"/>
        <v>0</v>
      </c>
      <c r="F43" s="1013">
        <f>'Table 4 Level 3'!P42</f>
        <v>653.61</v>
      </c>
      <c r="G43" s="1013">
        <f t="shared" si="3"/>
        <v>0</v>
      </c>
      <c r="H43" s="989">
        <f t="shared" si="4"/>
        <v>0</v>
      </c>
      <c r="I43" s="1023">
        <f t="shared" si="5"/>
        <v>0</v>
      </c>
      <c r="J43" s="989">
        <f t="shared" si="6"/>
        <v>0</v>
      </c>
      <c r="K43" s="989">
        <v>0</v>
      </c>
      <c r="L43" s="989">
        <f t="shared" si="7"/>
        <v>0</v>
      </c>
      <c r="M43" s="989">
        <f t="shared" si="8"/>
        <v>0</v>
      </c>
      <c r="N43" s="981">
        <f>'Table 5C1A-Madison Prep'!N43</f>
        <v>3227</v>
      </c>
      <c r="O43" s="983">
        <f t="shared" si="9"/>
        <v>0</v>
      </c>
      <c r="P43" s="1029">
        <f t="shared" si="10"/>
        <v>0</v>
      </c>
      <c r="Q43" s="983">
        <f t="shared" si="11"/>
        <v>0</v>
      </c>
      <c r="R43" s="983">
        <v>0</v>
      </c>
      <c r="S43" s="983">
        <f t="shared" si="12"/>
        <v>0</v>
      </c>
      <c r="T43" s="983">
        <f t="shared" si="13"/>
        <v>0</v>
      </c>
      <c r="U43" s="984">
        <f t="shared" si="14"/>
        <v>0</v>
      </c>
      <c r="V43" s="984">
        <f t="shared" si="14"/>
        <v>0</v>
      </c>
    </row>
    <row r="44" spans="1:22">
      <c r="A44" s="960">
        <v>38</v>
      </c>
      <c r="B44" s="961" t="s">
        <v>130</v>
      </c>
      <c r="C44" s="1081">
        <v>0</v>
      </c>
      <c r="D44" s="966">
        <f>'Table 3 Levels 1&amp;2'!AL45</f>
        <v>2192.7545275590551</v>
      </c>
      <c r="E44" s="1013">
        <f t="shared" si="2"/>
        <v>0</v>
      </c>
      <c r="F44" s="1013">
        <f>'Table 4 Level 3'!P43</f>
        <v>829.92000000000007</v>
      </c>
      <c r="G44" s="1013">
        <f t="shared" si="3"/>
        <v>0</v>
      </c>
      <c r="H44" s="989">
        <f t="shared" si="4"/>
        <v>0</v>
      </c>
      <c r="I44" s="1023">
        <f t="shared" si="5"/>
        <v>0</v>
      </c>
      <c r="J44" s="989">
        <f t="shared" si="6"/>
        <v>0</v>
      </c>
      <c r="K44" s="989">
        <v>0</v>
      </c>
      <c r="L44" s="989">
        <f t="shared" si="7"/>
        <v>0</v>
      </c>
      <c r="M44" s="989">
        <f t="shared" si="8"/>
        <v>0</v>
      </c>
      <c r="N44" s="981">
        <f>'Table 5C1A-Madison Prep'!N44</f>
        <v>10867</v>
      </c>
      <c r="O44" s="983">
        <f t="shared" si="9"/>
        <v>0</v>
      </c>
      <c r="P44" s="1029">
        <f t="shared" si="10"/>
        <v>0</v>
      </c>
      <c r="Q44" s="983">
        <f t="shared" si="11"/>
        <v>0</v>
      </c>
      <c r="R44" s="983">
        <v>0</v>
      </c>
      <c r="S44" s="983">
        <f t="shared" si="12"/>
        <v>0</v>
      </c>
      <c r="T44" s="983">
        <f t="shared" si="13"/>
        <v>0</v>
      </c>
      <c r="U44" s="984">
        <f t="shared" si="14"/>
        <v>0</v>
      </c>
      <c r="V44" s="984">
        <f t="shared" si="14"/>
        <v>0</v>
      </c>
    </row>
    <row r="45" spans="1:22">
      <c r="A45" s="960">
        <v>39</v>
      </c>
      <c r="B45" s="961" t="s">
        <v>131</v>
      </c>
      <c r="C45" s="1081">
        <v>0</v>
      </c>
      <c r="D45" s="966">
        <f>'Table 3 Levels 1&amp;2'!AL46</f>
        <v>3639.9942778062696</v>
      </c>
      <c r="E45" s="1013">
        <f t="shared" si="2"/>
        <v>0</v>
      </c>
      <c r="F45" s="1013">
        <f>'Table 4 Level 3'!P44</f>
        <v>779.65573042776441</v>
      </c>
      <c r="G45" s="1013">
        <f t="shared" si="3"/>
        <v>0</v>
      </c>
      <c r="H45" s="989">
        <f t="shared" si="4"/>
        <v>0</v>
      </c>
      <c r="I45" s="1023">
        <f t="shared" si="5"/>
        <v>0</v>
      </c>
      <c r="J45" s="989">
        <f t="shared" si="6"/>
        <v>0</v>
      </c>
      <c r="K45" s="989">
        <v>0</v>
      </c>
      <c r="L45" s="989">
        <f t="shared" si="7"/>
        <v>0</v>
      </c>
      <c r="M45" s="989">
        <f t="shared" si="8"/>
        <v>0</v>
      </c>
      <c r="N45" s="981">
        <f>'Table 5C1A-Madison Prep'!N45</f>
        <v>4324</v>
      </c>
      <c r="O45" s="983">
        <f t="shared" si="9"/>
        <v>0</v>
      </c>
      <c r="P45" s="1029">
        <f t="shared" si="10"/>
        <v>0</v>
      </c>
      <c r="Q45" s="983">
        <f t="shared" si="11"/>
        <v>0</v>
      </c>
      <c r="R45" s="983">
        <v>0</v>
      </c>
      <c r="S45" s="983">
        <f t="shared" si="12"/>
        <v>0</v>
      </c>
      <c r="T45" s="983">
        <f t="shared" si="13"/>
        <v>0</v>
      </c>
      <c r="U45" s="984">
        <f t="shared" si="14"/>
        <v>0</v>
      </c>
      <c r="V45" s="984">
        <f t="shared" si="14"/>
        <v>0</v>
      </c>
    </row>
    <row r="46" spans="1:22">
      <c r="A46" s="963">
        <v>40</v>
      </c>
      <c r="B46" s="964" t="s">
        <v>132</v>
      </c>
      <c r="C46" s="1082">
        <v>0</v>
      </c>
      <c r="D46" s="967">
        <f>'Table 3 Levels 1&amp;2'!AL47</f>
        <v>4928.4974462701202</v>
      </c>
      <c r="E46" s="1014">
        <f t="shared" si="2"/>
        <v>0</v>
      </c>
      <c r="F46" s="1014">
        <f>'Table 4 Level 3'!P45</f>
        <v>700.2700000000001</v>
      </c>
      <c r="G46" s="1014">
        <f t="shared" si="3"/>
        <v>0</v>
      </c>
      <c r="H46" s="990">
        <f t="shared" si="4"/>
        <v>0</v>
      </c>
      <c r="I46" s="1024">
        <f t="shared" si="5"/>
        <v>0</v>
      </c>
      <c r="J46" s="990">
        <f t="shared" si="6"/>
        <v>0</v>
      </c>
      <c r="K46" s="990">
        <v>0</v>
      </c>
      <c r="L46" s="990">
        <f t="shared" si="7"/>
        <v>0</v>
      </c>
      <c r="M46" s="990">
        <f t="shared" si="8"/>
        <v>0</v>
      </c>
      <c r="N46" s="986">
        <f>'Table 5C1A-Madison Prep'!N46</f>
        <v>3007</v>
      </c>
      <c r="O46" s="987">
        <f t="shared" si="9"/>
        <v>0</v>
      </c>
      <c r="P46" s="1030">
        <f t="shared" si="10"/>
        <v>0</v>
      </c>
      <c r="Q46" s="987">
        <f t="shared" si="11"/>
        <v>0</v>
      </c>
      <c r="R46" s="987">
        <v>0</v>
      </c>
      <c r="S46" s="987">
        <f t="shared" si="12"/>
        <v>0</v>
      </c>
      <c r="T46" s="987">
        <f t="shared" si="13"/>
        <v>0</v>
      </c>
      <c r="U46" s="988">
        <f t="shared" si="14"/>
        <v>0</v>
      </c>
      <c r="V46" s="988">
        <f t="shared" si="14"/>
        <v>0</v>
      </c>
    </row>
    <row r="47" spans="1:22">
      <c r="A47" s="953">
        <v>41</v>
      </c>
      <c r="B47" s="954" t="s">
        <v>133</v>
      </c>
      <c r="C47" s="1083">
        <v>0</v>
      </c>
      <c r="D47" s="968">
        <f>'Table 3 Levels 1&amp;2'!AL48</f>
        <v>1615.6013465627216</v>
      </c>
      <c r="E47" s="1015">
        <f t="shared" si="2"/>
        <v>0</v>
      </c>
      <c r="F47" s="1015">
        <f>'Table 4 Level 3'!P46</f>
        <v>886.22</v>
      </c>
      <c r="G47" s="1015">
        <f t="shared" si="3"/>
        <v>0</v>
      </c>
      <c r="H47" s="991">
        <f t="shared" si="4"/>
        <v>0</v>
      </c>
      <c r="I47" s="1025">
        <f t="shared" si="5"/>
        <v>0</v>
      </c>
      <c r="J47" s="991">
        <f t="shared" si="6"/>
        <v>0</v>
      </c>
      <c r="K47" s="991">
        <v>0</v>
      </c>
      <c r="L47" s="991">
        <f t="shared" si="7"/>
        <v>0</v>
      </c>
      <c r="M47" s="991">
        <f t="shared" si="8"/>
        <v>0</v>
      </c>
      <c r="N47" s="981">
        <f>'Table 5C1A-Madison Prep'!N47</f>
        <v>9087</v>
      </c>
      <c r="O47" s="958">
        <f t="shared" si="9"/>
        <v>0</v>
      </c>
      <c r="P47" s="1028">
        <f t="shared" si="10"/>
        <v>0</v>
      </c>
      <c r="Q47" s="958">
        <f t="shared" si="11"/>
        <v>0</v>
      </c>
      <c r="R47" s="958">
        <v>0</v>
      </c>
      <c r="S47" s="958">
        <f t="shared" si="12"/>
        <v>0</v>
      </c>
      <c r="T47" s="958">
        <f t="shared" si="13"/>
        <v>0</v>
      </c>
      <c r="U47" s="959">
        <f t="shared" si="14"/>
        <v>0</v>
      </c>
      <c r="V47" s="959">
        <f t="shared" si="14"/>
        <v>0</v>
      </c>
    </row>
    <row r="48" spans="1:22">
      <c r="A48" s="960">
        <v>42</v>
      </c>
      <c r="B48" s="961" t="s">
        <v>134</v>
      </c>
      <c r="C48" s="1081">
        <v>0</v>
      </c>
      <c r="D48" s="966">
        <f>'Table 3 Levels 1&amp;2'!AL49</f>
        <v>5087.4730460987803</v>
      </c>
      <c r="E48" s="1013">
        <f t="shared" si="2"/>
        <v>0</v>
      </c>
      <c r="F48" s="1013">
        <f>'Table 4 Level 3'!P47</f>
        <v>534.28</v>
      </c>
      <c r="G48" s="1013">
        <f t="shared" si="3"/>
        <v>0</v>
      </c>
      <c r="H48" s="989">
        <f t="shared" si="4"/>
        <v>0</v>
      </c>
      <c r="I48" s="1023">
        <f t="shared" si="5"/>
        <v>0</v>
      </c>
      <c r="J48" s="989">
        <f t="shared" si="6"/>
        <v>0</v>
      </c>
      <c r="K48" s="989">
        <v>0</v>
      </c>
      <c r="L48" s="989">
        <f t="shared" si="7"/>
        <v>0</v>
      </c>
      <c r="M48" s="989">
        <f t="shared" si="8"/>
        <v>0</v>
      </c>
      <c r="N48" s="981">
        <f>'Table 5C1A-Madison Prep'!N48</f>
        <v>2867</v>
      </c>
      <c r="O48" s="983">
        <f t="shared" si="9"/>
        <v>0</v>
      </c>
      <c r="P48" s="1029">
        <f t="shared" si="10"/>
        <v>0</v>
      </c>
      <c r="Q48" s="983">
        <f t="shared" si="11"/>
        <v>0</v>
      </c>
      <c r="R48" s="983">
        <v>0</v>
      </c>
      <c r="S48" s="983">
        <f t="shared" si="12"/>
        <v>0</v>
      </c>
      <c r="T48" s="983">
        <f t="shared" si="13"/>
        <v>0</v>
      </c>
      <c r="U48" s="984">
        <f t="shared" si="14"/>
        <v>0</v>
      </c>
      <c r="V48" s="984">
        <f t="shared" si="14"/>
        <v>0</v>
      </c>
    </row>
    <row r="49" spans="1:22">
      <c r="A49" s="960">
        <v>43</v>
      </c>
      <c r="B49" s="961" t="s">
        <v>135</v>
      </c>
      <c r="C49" s="1081">
        <v>0</v>
      </c>
      <c r="D49" s="966">
        <f>'Table 3 Levels 1&amp;2'!AL50</f>
        <v>4717.8414352725031</v>
      </c>
      <c r="E49" s="1013">
        <f t="shared" si="2"/>
        <v>0</v>
      </c>
      <c r="F49" s="1013">
        <f>'Table 4 Level 3'!P48</f>
        <v>574.6099999999999</v>
      </c>
      <c r="G49" s="1013">
        <f t="shared" si="3"/>
        <v>0</v>
      </c>
      <c r="H49" s="989">
        <f t="shared" si="4"/>
        <v>0</v>
      </c>
      <c r="I49" s="1023">
        <f t="shared" si="5"/>
        <v>0</v>
      </c>
      <c r="J49" s="989">
        <f t="shared" si="6"/>
        <v>0</v>
      </c>
      <c r="K49" s="989">
        <v>0</v>
      </c>
      <c r="L49" s="989">
        <f t="shared" si="7"/>
        <v>0</v>
      </c>
      <c r="M49" s="989">
        <f t="shared" si="8"/>
        <v>0</v>
      </c>
      <c r="N49" s="981">
        <f>'Table 5C1A-Madison Prep'!N49</f>
        <v>3587</v>
      </c>
      <c r="O49" s="983">
        <f t="shared" si="9"/>
        <v>0</v>
      </c>
      <c r="P49" s="1029">
        <f t="shared" si="10"/>
        <v>0</v>
      </c>
      <c r="Q49" s="983">
        <f t="shared" si="11"/>
        <v>0</v>
      </c>
      <c r="R49" s="983">
        <v>0</v>
      </c>
      <c r="S49" s="983">
        <f t="shared" si="12"/>
        <v>0</v>
      </c>
      <c r="T49" s="983">
        <f t="shared" si="13"/>
        <v>0</v>
      </c>
      <c r="U49" s="984">
        <f t="shared" si="14"/>
        <v>0</v>
      </c>
      <c r="V49" s="984">
        <f t="shared" si="14"/>
        <v>0</v>
      </c>
    </row>
    <row r="50" spans="1:22">
      <c r="A50" s="960">
        <v>44</v>
      </c>
      <c r="B50" s="961" t="s">
        <v>136</v>
      </c>
      <c r="C50" s="1081">
        <v>0</v>
      </c>
      <c r="D50" s="966">
        <f>'Table 3 Levels 1&amp;2'!AL51</f>
        <v>4696.6221228259064</v>
      </c>
      <c r="E50" s="1013">
        <f t="shared" si="2"/>
        <v>0</v>
      </c>
      <c r="F50" s="1013">
        <f>'Table 4 Level 3'!P49</f>
        <v>663.16000000000008</v>
      </c>
      <c r="G50" s="1013">
        <f t="shared" si="3"/>
        <v>0</v>
      </c>
      <c r="H50" s="989">
        <f t="shared" si="4"/>
        <v>0</v>
      </c>
      <c r="I50" s="1023">
        <f t="shared" si="5"/>
        <v>0</v>
      </c>
      <c r="J50" s="989">
        <f t="shared" si="6"/>
        <v>0</v>
      </c>
      <c r="K50" s="989">
        <v>0</v>
      </c>
      <c r="L50" s="989">
        <f t="shared" si="7"/>
        <v>0</v>
      </c>
      <c r="M50" s="989">
        <f t="shared" si="8"/>
        <v>0</v>
      </c>
      <c r="N50" s="981">
        <f>'Table 5C1A-Madison Prep'!N50</f>
        <v>4561</v>
      </c>
      <c r="O50" s="983">
        <f t="shared" si="9"/>
        <v>0</v>
      </c>
      <c r="P50" s="1029">
        <f t="shared" si="10"/>
        <v>0</v>
      </c>
      <c r="Q50" s="983">
        <f t="shared" si="11"/>
        <v>0</v>
      </c>
      <c r="R50" s="983">
        <v>0</v>
      </c>
      <c r="S50" s="983">
        <f t="shared" si="12"/>
        <v>0</v>
      </c>
      <c r="T50" s="983">
        <f t="shared" si="13"/>
        <v>0</v>
      </c>
      <c r="U50" s="984">
        <f t="shared" si="14"/>
        <v>0</v>
      </c>
      <c r="V50" s="984">
        <f t="shared" si="14"/>
        <v>0</v>
      </c>
    </row>
    <row r="51" spans="1:22">
      <c r="A51" s="963">
        <v>45</v>
      </c>
      <c r="B51" s="964" t="s">
        <v>137</v>
      </c>
      <c r="C51" s="1082">
        <v>0</v>
      </c>
      <c r="D51" s="967">
        <f>'Table 3 Levels 1&amp;2'!AL52</f>
        <v>2192.4914538932262</v>
      </c>
      <c r="E51" s="1014">
        <f t="shared" si="2"/>
        <v>0</v>
      </c>
      <c r="F51" s="1014">
        <f>'Table 4 Level 3'!P50</f>
        <v>753.96000000000015</v>
      </c>
      <c r="G51" s="1014">
        <f t="shared" si="3"/>
        <v>0</v>
      </c>
      <c r="H51" s="990">
        <f t="shared" si="4"/>
        <v>0</v>
      </c>
      <c r="I51" s="1024">
        <f t="shared" si="5"/>
        <v>0</v>
      </c>
      <c r="J51" s="990">
        <f t="shared" si="6"/>
        <v>0</v>
      </c>
      <c r="K51" s="990">
        <v>0</v>
      </c>
      <c r="L51" s="990">
        <f t="shared" si="7"/>
        <v>0</v>
      </c>
      <c r="M51" s="990">
        <f t="shared" si="8"/>
        <v>0</v>
      </c>
      <c r="N51" s="986">
        <f>'Table 5C1A-Madison Prep'!N51</f>
        <v>11287</v>
      </c>
      <c r="O51" s="987">
        <f t="shared" si="9"/>
        <v>0</v>
      </c>
      <c r="P51" s="1030">
        <f t="shared" si="10"/>
        <v>0</v>
      </c>
      <c r="Q51" s="987">
        <f t="shared" si="11"/>
        <v>0</v>
      </c>
      <c r="R51" s="987">
        <v>0</v>
      </c>
      <c r="S51" s="987">
        <f t="shared" si="12"/>
        <v>0</v>
      </c>
      <c r="T51" s="987">
        <f t="shared" si="13"/>
        <v>0</v>
      </c>
      <c r="U51" s="988">
        <f t="shared" si="14"/>
        <v>0</v>
      </c>
      <c r="V51" s="988">
        <f t="shared" si="14"/>
        <v>0</v>
      </c>
    </row>
    <row r="52" spans="1:22">
      <c r="A52" s="953">
        <v>46</v>
      </c>
      <c r="B52" s="954" t="s">
        <v>138</v>
      </c>
      <c r="C52" s="1083">
        <v>0</v>
      </c>
      <c r="D52" s="968">
        <f>'Table 3 Levels 1&amp;2'!AL53</f>
        <v>5644.6599115241634</v>
      </c>
      <c r="E52" s="1015">
        <f t="shared" si="2"/>
        <v>0</v>
      </c>
      <c r="F52" s="1015">
        <f>'Table 4 Level 3'!P51</f>
        <v>728.06</v>
      </c>
      <c r="G52" s="1015">
        <f t="shared" si="3"/>
        <v>0</v>
      </c>
      <c r="H52" s="991">
        <f t="shared" si="4"/>
        <v>0</v>
      </c>
      <c r="I52" s="1025">
        <f t="shared" si="5"/>
        <v>0</v>
      </c>
      <c r="J52" s="991">
        <f t="shared" si="6"/>
        <v>0</v>
      </c>
      <c r="K52" s="991">
        <v>0</v>
      </c>
      <c r="L52" s="991">
        <f t="shared" si="7"/>
        <v>0</v>
      </c>
      <c r="M52" s="991">
        <f t="shared" si="8"/>
        <v>0</v>
      </c>
      <c r="N52" s="981">
        <f>'Table 5C1A-Madison Prep'!N52</f>
        <v>2150</v>
      </c>
      <c r="O52" s="958">
        <f t="shared" si="9"/>
        <v>0</v>
      </c>
      <c r="P52" s="1028">
        <f t="shared" si="10"/>
        <v>0</v>
      </c>
      <c r="Q52" s="958">
        <f t="shared" si="11"/>
        <v>0</v>
      </c>
      <c r="R52" s="958">
        <v>0</v>
      </c>
      <c r="S52" s="958">
        <f t="shared" si="12"/>
        <v>0</v>
      </c>
      <c r="T52" s="958">
        <f t="shared" si="13"/>
        <v>0</v>
      </c>
      <c r="U52" s="959">
        <f t="shared" si="14"/>
        <v>0</v>
      </c>
      <c r="V52" s="959">
        <f t="shared" si="14"/>
        <v>0</v>
      </c>
    </row>
    <row r="53" spans="1:22">
      <c r="A53" s="960">
        <v>47</v>
      </c>
      <c r="B53" s="961" t="s">
        <v>139</v>
      </c>
      <c r="C53" s="1081">
        <v>0</v>
      </c>
      <c r="D53" s="966">
        <f>'Table 3 Levels 1&amp;2'!AL54</f>
        <v>2731.2444076222037</v>
      </c>
      <c r="E53" s="1013">
        <f t="shared" si="2"/>
        <v>0</v>
      </c>
      <c r="F53" s="1013">
        <f>'Table 4 Level 3'!P52</f>
        <v>910.76</v>
      </c>
      <c r="G53" s="1013">
        <f t="shared" si="3"/>
        <v>0</v>
      </c>
      <c r="H53" s="989">
        <f t="shared" si="4"/>
        <v>0</v>
      </c>
      <c r="I53" s="1023">
        <f t="shared" si="5"/>
        <v>0</v>
      </c>
      <c r="J53" s="989">
        <f t="shared" si="6"/>
        <v>0</v>
      </c>
      <c r="K53" s="989">
        <v>0</v>
      </c>
      <c r="L53" s="989">
        <f t="shared" si="7"/>
        <v>0</v>
      </c>
      <c r="M53" s="989">
        <f t="shared" si="8"/>
        <v>0</v>
      </c>
      <c r="N53" s="981">
        <f>'Table 5C1A-Madison Prep'!N53</f>
        <v>13280</v>
      </c>
      <c r="O53" s="983">
        <f t="shared" si="9"/>
        <v>0</v>
      </c>
      <c r="P53" s="1029">
        <f t="shared" si="10"/>
        <v>0</v>
      </c>
      <c r="Q53" s="983">
        <f t="shared" si="11"/>
        <v>0</v>
      </c>
      <c r="R53" s="983">
        <v>0</v>
      </c>
      <c r="S53" s="983">
        <f t="shared" si="12"/>
        <v>0</v>
      </c>
      <c r="T53" s="983">
        <f t="shared" si="13"/>
        <v>0</v>
      </c>
      <c r="U53" s="984">
        <f t="shared" si="14"/>
        <v>0</v>
      </c>
      <c r="V53" s="984">
        <f t="shared" si="14"/>
        <v>0</v>
      </c>
    </row>
    <row r="54" spans="1:22">
      <c r="A54" s="960">
        <v>48</v>
      </c>
      <c r="B54" s="961" t="s">
        <v>197</v>
      </c>
      <c r="C54" s="1081">
        <v>0</v>
      </c>
      <c r="D54" s="966">
        <f>'Table 3 Levels 1&amp;2'!AL55</f>
        <v>4272.723323083942</v>
      </c>
      <c r="E54" s="1013">
        <f t="shared" si="2"/>
        <v>0</v>
      </c>
      <c r="F54" s="1013">
        <f>'Table 4 Level 3'!P53</f>
        <v>871.07</v>
      </c>
      <c r="G54" s="1013">
        <f t="shared" si="3"/>
        <v>0</v>
      </c>
      <c r="H54" s="989">
        <f t="shared" si="4"/>
        <v>0</v>
      </c>
      <c r="I54" s="1023">
        <f t="shared" si="5"/>
        <v>0</v>
      </c>
      <c r="J54" s="989">
        <f t="shared" si="6"/>
        <v>0</v>
      </c>
      <c r="K54" s="989">
        <v>0</v>
      </c>
      <c r="L54" s="989">
        <f t="shared" si="7"/>
        <v>0</v>
      </c>
      <c r="M54" s="989">
        <f t="shared" si="8"/>
        <v>0</v>
      </c>
      <c r="N54" s="981">
        <f>'Table 5C1A-Madison Prep'!N54</f>
        <v>6453</v>
      </c>
      <c r="O54" s="983">
        <f t="shared" si="9"/>
        <v>0</v>
      </c>
      <c r="P54" s="1029">
        <f t="shared" si="10"/>
        <v>0</v>
      </c>
      <c r="Q54" s="983">
        <f t="shared" si="11"/>
        <v>0</v>
      </c>
      <c r="R54" s="983">
        <v>0</v>
      </c>
      <c r="S54" s="983">
        <f t="shared" si="12"/>
        <v>0</v>
      </c>
      <c r="T54" s="983">
        <f t="shared" si="13"/>
        <v>0</v>
      </c>
      <c r="U54" s="984">
        <f t="shared" si="14"/>
        <v>0</v>
      </c>
      <c r="V54" s="984">
        <f t="shared" si="14"/>
        <v>0</v>
      </c>
    </row>
    <row r="55" spans="1:22">
      <c r="A55" s="960">
        <v>49</v>
      </c>
      <c r="B55" s="961" t="s">
        <v>140</v>
      </c>
      <c r="C55" s="1081">
        <v>0</v>
      </c>
      <c r="D55" s="966">
        <f>'Table 3 Levels 1&amp;2'!AL56</f>
        <v>4836.7092570332552</v>
      </c>
      <c r="E55" s="1013">
        <f t="shared" si="2"/>
        <v>0</v>
      </c>
      <c r="F55" s="1013">
        <f>'Table 4 Level 3'!P54</f>
        <v>574.43999999999994</v>
      </c>
      <c r="G55" s="1013">
        <f t="shared" si="3"/>
        <v>0</v>
      </c>
      <c r="H55" s="989">
        <f t="shared" si="4"/>
        <v>0</v>
      </c>
      <c r="I55" s="1023">
        <f t="shared" si="5"/>
        <v>0</v>
      </c>
      <c r="J55" s="989">
        <f t="shared" si="6"/>
        <v>0</v>
      </c>
      <c r="K55" s="989">
        <v>0</v>
      </c>
      <c r="L55" s="989">
        <f t="shared" si="7"/>
        <v>0</v>
      </c>
      <c r="M55" s="989">
        <f t="shared" si="8"/>
        <v>0</v>
      </c>
      <c r="N55" s="981">
        <f>'Table 5C1A-Madison Prep'!N55</f>
        <v>2287</v>
      </c>
      <c r="O55" s="983">
        <f t="shared" si="9"/>
        <v>0</v>
      </c>
      <c r="P55" s="1029">
        <f t="shared" si="10"/>
        <v>0</v>
      </c>
      <c r="Q55" s="983">
        <f t="shared" si="11"/>
        <v>0</v>
      </c>
      <c r="R55" s="983">
        <v>0</v>
      </c>
      <c r="S55" s="983">
        <f t="shared" si="12"/>
        <v>0</v>
      </c>
      <c r="T55" s="983">
        <f t="shared" si="13"/>
        <v>0</v>
      </c>
      <c r="U55" s="984">
        <f t="shared" si="14"/>
        <v>0</v>
      </c>
      <c r="V55" s="984">
        <f t="shared" si="14"/>
        <v>0</v>
      </c>
    </row>
    <row r="56" spans="1:22">
      <c r="A56" s="963">
        <v>50</v>
      </c>
      <c r="B56" s="964" t="s">
        <v>141</v>
      </c>
      <c r="C56" s="1082">
        <v>0</v>
      </c>
      <c r="D56" s="967">
        <f>'Table 3 Levels 1&amp;2'!AL57</f>
        <v>5032.6862895017111</v>
      </c>
      <c r="E56" s="1014">
        <f t="shared" si="2"/>
        <v>0</v>
      </c>
      <c r="F56" s="1014">
        <f>'Table 4 Level 3'!P55</f>
        <v>634.46</v>
      </c>
      <c r="G56" s="1014">
        <f t="shared" si="3"/>
        <v>0</v>
      </c>
      <c r="H56" s="990">
        <f t="shared" si="4"/>
        <v>0</v>
      </c>
      <c r="I56" s="1024">
        <f t="shared" si="5"/>
        <v>0</v>
      </c>
      <c r="J56" s="990">
        <f t="shared" si="6"/>
        <v>0</v>
      </c>
      <c r="K56" s="990">
        <v>0</v>
      </c>
      <c r="L56" s="990">
        <f t="shared" si="7"/>
        <v>0</v>
      </c>
      <c r="M56" s="990">
        <f t="shared" si="8"/>
        <v>0</v>
      </c>
      <c r="N56" s="986">
        <f>'Table 5C1A-Madison Prep'!N56</f>
        <v>2801</v>
      </c>
      <c r="O56" s="987">
        <f t="shared" si="9"/>
        <v>0</v>
      </c>
      <c r="P56" s="1030">
        <f t="shared" si="10"/>
        <v>0</v>
      </c>
      <c r="Q56" s="987">
        <f t="shared" si="11"/>
        <v>0</v>
      </c>
      <c r="R56" s="987">
        <v>0</v>
      </c>
      <c r="S56" s="987">
        <f t="shared" si="12"/>
        <v>0</v>
      </c>
      <c r="T56" s="987">
        <f t="shared" si="13"/>
        <v>0</v>
      </c>
      <c r="U56" s="988">
        <f t="shared" si="14"/>
        <v>0</v>
      </c>
      <c r="V56" s="988">
        <f t="shared" si="14"/>
        <v>0</v>
      </c>
    </row>
    <row r="57" spans="1:22">
      <c r="A57" s="953">
        <v>51</v>
      </c>
      <c r="B57" s="954" t="s">
        <v>142</v>
      </c>
      <c r="C57" s="1083">
        <v>0</v>
      </c>
      <c r="D57" s="968">
        <f>'Table 3 Levels 1&amp;2'!AL58</f>
        <v>4246.0339872793602</v>
      </c>
      <c r="E57" s="1015">
        <f t="shared" si="2"/>
        <v>0</v>
      </c>
      <c r="F57" s="1015">
        <f>'Table 4 Level 3'!P56</f>
        <v>706.66</v>
      </c>
      <c r="G57" s="1015">
        <f t="shared" si="3"/>
        <v>0</v>
      </c>
      <c r="H57" s="991">
        <f t="shared" si="4"/>
        <v>0</v>
      </c>
      <c r="I57" s="1025">
        <f t="shared" si="5"/>
        <v>0</v>
      </c>
      <c r="J57" s="991">
        <f t="shared" si="6"/>
        <v>0</v>
      </c>
      <c r="K57" s="991">
        <v>0</v>
      </c>
      <c r="L57" s="991">
        <f t="shared" si="7"/>
        <v>0</v>
      </c>
      <c r="M57" s="991">
        <f t="shared" si="8"/>
        <v>0</v>
      </c>
      <c r="N57" s="981">
        <f>'Table 5C1A-Madison Prep'!N57</f>
        <v>4215</v>
      </c>
      <c r="O57" s="958">
        <f t="shared" si="9"/>
        <v>0</v>
      </c>
      <c r="P57" s="1028">
        <f t="shared" si="10"/>
        <v>0</v>
      </c>
      <c r="Q57" s="958">
        <f t="shared" si="11"/>
        <v>0</v>
      </c>
      <c r="R57" s="958">
        <v>0</v>
      </c>
      <c r="S57" s="958">
        <f t="shared" si="12"/>
        <v>0</v>
      </c>
      <c r="T57" s="958">
        <f t="shared" si="13"/>
        <v>0</v>
      </c>
      <c r="U57" s="959">
        <f t="shared" si="14"/>
        <v>0</v>
      </c>
      <c r="V57" s="959">
        <f t="shared" si="14"/>
        <v>0</v>
      </c>
    </row>
    <row r="58" spans="1:22">
      <c r="A58" s="960">
        <v>52</v>
      </c>
      <c r="B58" s="961" t="s">
        <v>143</v>
      </c>
      <c r="C58" s="1081">
        <v>0</v>
      </c>
      <c r="D58" s="966">
        <f>'Table 3 Levels 1&amp;2'!AL59</f>
        <v>5013.4438050113249</v>
      </c>
      <c r="E58" s="1013">
        <f t="shared" si="2"/>
        <v>0</v>
      </c>
      <c r="F58" s="1013">
        <f>'Table 4 Level 3'!P57</f>
        <v>658.37</v>
      </c>
      <c r="G58" s="1013">
        <f t="shared" si="3"/>
        <v>0</v>
      </c>
      <c r="H58" s="989">
        <f t="shared" si="4"/>
        <v>0</v>
      </c>
      <c r="I58" s="1023">
        <f t="shared" si="5"/>
        <v>0</v>
      </c>
      <c r="J58" s="989">
        <f t="shared" si="6"/>
        <v>0</v>
      </c>
      <c r="K58" s="989">
        <v>0</v>
      </c>
      <c r="L58" s="989">
        <f t="shared" si="7"/>
        <v>0</v>
      </c>
      <c r="M58" s="989">
        <f t="shared" si="8"/>
        <v>0</v>
      </c>
      <c r="N58" s="981">
        <f>'Table 5C1A-Madison Prep'!N58</f>
        <v>4889</v>
      </c>
      <c r="O58" s="983">
        <f t="shared" si="9"/>
        <v>0</v>
      </c>
      <c r="P58" s="1029">
        <f t="shared" si="10"/>
        <v>0</v>
      </c>
      <c r="Q58" s="983">
        <f t="shared" si="11"/>
        <v>0</v>
      </c>
      <c r="R58" s="983">
        <v>0</v>
      </c>
      <c r="S58" s="983">
        <f t="shared" si="12"/>
        <v>0</v>
      </c>
      <c r="T58" s="983">
        <f t="shared" si="13"/>
        <v>0</v>
      </c>
      <c r="U58" s="984">
        <f t="shared" si="14"/>
        <v>0</v>
      </c>
      <c r="V58" s="984">
        <f t="shared" si="14"/>
        <v>0</v>
      </c>
    </row>
    <row r="59" spans="1:22">
      <c r="A59" s="960">
        <v>53</v>
      </c>
      <c r="B59" s="961" t="s">
        <v>144</v>
      </c>
      <c r="C59" s="1081">
        <v>0</v>
      </c>
      <c r="D59" s="966">
        <f>'Table 3 Levels 1&amp;2'!AL60</f>
        <v>4775.5877635581091</v>
      </c>
      <c r="E59" s="1013">
        <f t="shared" si="2"/>
        <v>0</v>
      </c>
      <c r="F59" s="1013">
        <f>'Table 4 Level 3'!P58</f>
        <v>689.74</v>
      </c>
      <c r="G59" s="1013">
        <f t="shared" si="3"/>
        <v>0</v>
      </c>
      <c r="H59" s="989">
        <f t="shared" si="4"/>
        <v>0</v>
      </c>
      <c r="I59" s="1023">
        <f t="shared" si="5"/>
        <v>0</v>
      </c>
      <c r="J59" s="989">
        <f t="shared" si="6"/>
        <v>0</v>
      </c>
      <c r="K59" s="989">
        <v>0</v>
      </c>
      <c r="L59" s="989">
        <f t="shared" si="7"/>
        <v>0</v>
      </c>
      <c r="M59" s="989">
        <f t="shared" si="8"/>
        <v>0</v>
      </c>
      <c r="N59" s="981">
        <f>'Table 5C1A-Madison Prep'!N59</f>
        <v>2119</v>
      </c>
      <c r="O59" s="983">
        <f t="shared" si="9"/>
        <v>0</v>
      </c>
      <c r="P59" s="1029">
        <f t="shared" si="10"/>
        <v>0</v>
      </c>
      <c r="Q59" s="983">
        <f t="shared" si="11"/>
        <v>0</v>
      </c>
      <c r="R59" s="983">
        <v>0</v>
      </c>
      <c r="S59" s="983">
        <f t="shared" si="12"/>
        <v>0</v>
      </c>
      <c r="T59" s="983">
        <f t="shared" si="13"/>
        <v>0</v>
      </c>
      <c r="U59" s="984">
        <f t="shared" si="14"/>
        <v>0</v>
      </c>
      <c r="V59" s="984">
        <f t="shared" si="14"/>
        <v>0</v>
      </c>
    </row>
    <row r="60" spans="1:22">
      <c r="A60" s="960">
        <v>54</v>
      </c>
      <c r="B60" s="961" t="s">
        <v>145</v>
      </c>
      <c r="C60" s="1081">
        <v>0</v>
      </c>
      <c r="D60" s="966">
        <f>'Table 3 Levels 1&amp;2'!AL61</f>
        <v>5951.8009386275662</v>
      </c>
      <c r="E60" s="1013">
        <f t="shared" si="2"/>
        <v>0</v>
      </c>
      <c r="F60" s="1013">
        <f>'Table 4 Level 3'!P59</f>
        <v>951.45</v>
      </c>
      <c r="G60" s="1013">
        <f t="shared" si="3"/>
        <v>0</v>
      </c>
      <c r="H60" s="989">
        <f t="shared" si="4"/>
        <v>0</v>
      </c>
      <c r="I60" s="1023">
        <f t="shared" si="5"/>
        <v>0</v>
      </c>
      <c r="J60" s="989">
        <f t="shared" si="6"/>
        <v>0</v>
      </c>
      <c r="K60" s="989">
        <v>0</v>
      </c>
      <c r="L60" s="989">
        <f t="shared" si="7"/>
        <v>0</v>
      </c>
      <c r="M60" s="989">
        <f t="shared" si="8"/>
        <v>0</v>
      </c>
      <c r="N60" s="981">
        <f>'Table 5C1A-Madison Prep'!N60</f>
        <v>3690</v>
      </c>
      <c r="O60" s="983">
        <f t="shared" si="9"/>
        <v>0</v>
      </c>
      <c r="P60" s="1029">
        <f t="shared" si="10"/>
        <v>0</v>
      </c>
      <c r="Q60" s="983">
        <f t="shared" si="11"/>
        <v>0</v>
      </c>
      <c r="R60" s="983">
        <v>0</v>
      </c>
      <c r="S60" s="983">
        <f t="shared" si="12"/>
        <v>0</v>
      </c>
      <c r="T60" s="983">
        <f t="shared" si="13"/>
        <v>0</v>
      </c>
      <c r="U60" s="984">
        <f t="shared" si="14"/>
        <v>0</v>
      </c>
      <c r="V60" s="984">
        <f t="shared" si="14"/>
        <v>0</v>
      </c>
    </row>
    <row r="61" spans="1:22">
      <c r="A61" s="963">
        <v>55</v>
      </c>
      <c r="B61" s="964" t="s">
        <v>146</v>
      </c>
      <c r="C61" s="1082">
        <v>0</v>
      </c>
      <c r="D61" s="967">
        <f>'Table 3 Levels 1&amp;2'!AL62</f>
        <v>4171.0434735233157</v>
      </c>
      <c r="E61" s="1014">
        <f t="shared" si="2"/>
        <v>0</v>
      </c>
      <c r="F61" s="1014">
        <f>'Table 4 Level 3'!P60</f>
        <v>795.14</v>
      </c>
      <c r="G61" s="1014">
        <f t="shared" si="3"/>
        <v>0</v>
      </c>
      <c r="H61" s="990">
        <f t="shared" si="4"/>
        <v>0</v>
      </c>
      <c r="I61" s="1024">
        <f t="shared" si="5"/>
        <v>0</v>
      </c>
      <c r="J61" s="990">
        <f t="shared" si="6"/>
        <v>0</v>
      </c>
      <c r="K61" s="990">
        <v>0</v>
      </c>
      <c r="L61" s="990">
        <f t="shared" si="7"/>
        <v>0</v>
      </c>
      <c r="M61" s="990">
        <f t="shared" si="8"/>
        <v>0</v>
      </c>
      <c r="N61" s="986">
        <f>'Table 5C1A-Madison Prep'!N61</f>
        <v>3157</v>
      </c>
      <c r="O61" s="987">
        <f t="shared" si="9"/>
        <v>0</v>
      </c>
      <c r="P61" s="1030">
        <f t="shared" si="10"/>
        <v>0</v>
      </c>
      <c r="Q61" s="987">
        <f t="shared" si="11"/>
        <v>0</v>
      </c>
      <c r="R61" s="987">
        <v>0</v>
      </c>
      <c r="S61" s="987">
        <f t="shared" si="12"/>
        <v>0</v>
      </c>
      <c r="T61" s="987">
        <f t="shared" si="13"/>
        <v>0</v>
      </c>
      <c r="U61" s="988">
        <f t="shared" si="14"/>
        <v>0</v>
      </c>
      <c r="V61" s="988">
        <f t="shared" si="14"/>
        <v>0</v>
      </c>
    </row>
    <row r="62" spans="1:22">
      <c r="A62" s="953">
        <v>56</v>
      </c>
      <c r="B62" s="954" t="s">
        <v>147</v>
      </c>
      <c r="C62" s="1083">
        <v>0</v>
      </c>
      <c r="D62" s="968">
        <f>'Table 3 Levels 1&amp;2'!AL63</f>
        <v>4968.593189672727</v>
      </c>
      <c r="E62" s="1015">
        <f t="shared" si="2"/>
        <v>0</v>
      </c>
      <c r="F62" s="1015">
        <f>'Table 4 Level 3'!P61</f>
        <v>614.66000000000008</v>
      </c>
      <c r="G62" s="1015">
        <f t="shared" si="3"/>
        <v>0</v>
      </c>
      <c r="H62" s="991">
        <f t="shared" si="4"/>
        <v>0</v>
      </c>
      <c r="I62" s="1025">
        <f t="shared" si="5"/>
        <v>0</v>
      </c>
      <c r="J62" s="991">
        <f t="shared" si="6"/>
        <v>0</v>
      </c>
      <c r="K62" s="991">
        <v>0</v>
      </c>
      <c r="L62" s="991">
        <f t="shared" si="7"/>
        <v>0</v>
      </c>
      <c r="M62" s="991">
        <f t="shared" si="8"/>
        <v>0</v>
      </c>
      <c r="N62" s="981">
        <f>'Table 5C1A-Madison Prep'!N62</f>
        <v>2779</v>
      </c>
      <c r="O62" s="958">
        <f t="shared" si="9"/>
        <v>0</v>
      </c>
      <c r="P62" s="1028">
        <f t="shared" si="10"/>
        <v>0</v>
      </c>
      <c r="Q62" s="958">
        <f t="shared" si="11"/>
        <v>0</v>
      </c>
      <c r="R62" s="958">
        <v>0</v>
      </c>
      <c r="S62" s="958">
        <f t="shared" si="12"/>
        <v>0</v>
      </c>
      <c r="T62" s="958">
        <f t="shared" si="13"/>
        <v>0</v>
      </c>
      <c r="U62" s="959">
        <f t="shared" si="14"/>
        <v>0</v>
      </c>
      <c r="V62" s="959">
        <f t="shared" si="14"/>
        <v>0</v>
      </c>
    </row>
    <row r="63" spans="1:22">
      <c r="A63" s="960">
        <v>57</v>
      </c>
      <c r="B63" s="961" t="s">
        <v>148</v>
      </c>
      <c r="C63" s="1081">
        <v>0</v>
      </c>
      <c r="D63" s="966">
        <f>'Table 3 Levels 1&amp;2'!AL64</f>
        <v>4485.7073020218859</v>
      </c>
      <c r="E63" s="1013">
        <f t="shared" si="2"/>
        <v>0</v>
      </c>
      <c r="F63" s="1013">
        <f>'Table 4 Level 3'!P62</f>
        <v>764.51</v>
      </c>
      <c r="G63" s="1013">
        <f t="shared" si="3"/>
        <v>0</v>
      </c>
      <c r="H63" s="989">
        <f t="shared" si="4"/>
        <v>0</v>
      </c>
      <c r="I63" s="1023">
        <f t="shared" si="5"/>
        <v>0</v>
      </c>
      <c r="J63" s="989">
        <f t="shared" si="6"/>
        <v>0</v>
      </c>
      <c r="K63" s="989">
        <v>0</v>
      </c>
      <c r="L63" s="989">
        <f t="shared" si="7"/>
        <v>0</v>
      </c>
      <c r="M63" s="989">
        <f t="shared" si="8"/>
        <v>0</v>
      </c>
      <c r="N63" s="981">
        <f>'Table 5C1A-Madison Prep'!N63</f>
        <v>3107</v>
      </c>
      <c r="O63" s="983">
        <f t="shared" si="9"/>
        <v>0</v>
      </c>
      <c r="P63" s="1029">
        <f t="shared" si="10"/>
        <v>0</v>
      </c>
      <c r="Q63" s="983">
        <f t="shared" si="11"/>
        <v>0</v>
      </c>
      <c r="R63" s="983">
        <v>0</v>
      </c>
      <c r="S63" s="983">
        <f t="shared" si="12"/>
        <v>0</v>
      </c>
      <c r="T63" s="983">
        <f t="shared" si="13"/>
        <v>0</v>
      </c>
      <c r="U63" s="984">
        <f t="shared" si="14"/>
        <v>0</v>
      </c>
      <c r="V63" s="984">
        <f t="shared" si="14"/>
        <v>0</v>
      </c>
    </row>
    <row r="64" spans="1:22">
      <c r="A64" s="960">
        <v>58</v>
      </c>
      <c r="B64" s="961" t="s">
        <v>149</v>
      </c>
      <c r="C64" s="1081">
        <v>0</v>
      </c>
      <c r="D64" s="966">
        <f>'Table 3 Levels 1&amp;2'!AL65</f>
        <v>5457.8662803476354</v>
      </c>
      <c r="E64" s="1013">
        <f t="shared" si="2"/>
        <v>0</v>
      </c>
      <c r="F64" s="1013">
        <f>'Table 4 Level 3'!P63</f>
        <v>697.04</v>
      </c>
      <c r="G64" s="1013">
        <f t="shared" si="3"/>
        <v>0</v>
      </c>
      <c r="H64" s="989">
        <f t="shared" si="4"/>
        <v>0</v>
      </c>
      <c r="I64" s="1023">
        <f t="shared" si="5"/>
        <v>0</v>
      </c>
      <c r="J64" s="989">
        <f t="shared" si="6"/>
        <v>0</v>
      </c>
      <c r="K64" s="989">
        <v>0</v>
      </c>
      <c r="L64" s="989">
        <f t="shared" si="7"/>
        <v>0</v>
      </c>
      <c r="M64" s="989">
        <f t="shared" si="8"/>
        <v>0</v>
      </c>
      <c r="N64" s="981">
        <f>'Table 5C1A-Madison Prep'!N64</f>
        <v>2105</v>
      </c>
      <c r="O64" s="983">
        <f t="shared" si="9"/>
        <v>0</v>
      </c>
      <c r="P64" s="1029">
        <f t="shared" si="10"/>
        <v>0</v>
      </c>
      <c r="Q64" s="983">
        <f t="shared" si="11"/>
        <v>0</v>
      </c>
      <c r="R64" s="983">
        <v>0</v>
      </c>
      <c r="S64" s="983">
        <f t="shared" si="12"/>
        <v>0</v>
      </c>
      <c r="T64" s="983">
        <f t="shared" si="13"/>
        <v>0</v>
      </c>
      <c r="U64" s="984">
        <f t="shared" si="14"/>
        <v>0</v>
      </c>
      <c r="V64" s="984">
        <f t="shared" si="14"/>
        <v>0</v>
      </c>
    </row>
    <row r="65" spans="1:22">
      <c r="A65" s="960">
        <v>59</v>
      </c>
      <c r="B65" s="961" t="s">
        <v>150</v>
      </c>
      <c r="C65" s="1081">
        <v>0</v>
      </c>
      <c r="D65" s="966">
        <f>'Table 3 Levels 1&amp;2'!AL66</f>
        <v>6274.2786338006481</v>
      </c>
      <c r="E65" s="1013">
        <f t="shared" si="2"/>
        <v>0</v>
      </c>
      <c r="F65" s="1013">
        <f>'Table 4 Level 3'!P64</f>
        <v>689.52</v>
      </c>
      <c r="G65" s="1013">
        <f t="shared" si="3"/>
        <v>0</v>
      </c>
      <c r="H65" s="989">
        <f t="shared" si="4"/>
        <v>0</v>
      </c>
      <c r="I65" s="1023">
        <f t="shared" si="5"/>
        <v>0</v>
      </c>
      <c r="J65" s="989">
        <f t="shared" si="6"/>
        <v>0</v>
      </c>
      <c r="K65" s="989">
        <v>0</v>
      </c>
      <c r="L65" s="989">
        <f t="shared" si="7"/>
        <v>0</v>
      </c>
      <c r="M65" s="989">
        <f t="shared" si="8"/>
        <v>0</v>
      </c>
      <c r="N65" s="981">
        <f>'Table 5C1A-Madison Prep'!N65</f>
        <v>1510</v>
      </c>
      <c r="O65" s="983">
        <f t="shared" si="9"/>
        <v>0</v>
      </c>
      <c r="P65" s="1029">
        <f t="shared" si="10"/>
        <v>0</v>
      </c>
      <c r="Q65" s="983">
        <f t="shared" si="11"/>
        <v>0</v>
      </c>
      <c r="R65" s="983">
        <v>0</v>
      </c>
      <c r="S65" s="983">
        <f t="shared" si="12"/>
        <v>0</v>
      </c>
      <c r="T65" s="983">
        <f t="shared" si="13"/>
        <v>0</v>
      </c>
      <c r="U65" s="984">
        <f t="shared" si="14"/>
        <v>0</v>
      </c>
      <c r="V65" s="984">
        <f t="shared" si="14"/>
        <v>0</v>
      </c>
    </row>
    <row r="66" spans="1:22">
      <c r="A66" s="963">
        <v>60</v>
      </c>
      <c r="B66" s="964" t="s">
        <v>151</v>
      </c>
      <c r="C66" s="1082">
        <v>0</v>
      </c>
      <c r="D66" s="967">
        <f>'Table 3 Levels 1&amp;2'!AL67</f>
        <v>4940.9166775610411</v>
      </c>
      <c r="E66" s="1014">
        <f t="shared" si="2"/>
        <v>0</v>
      </c>
      <c r="F66" s="1014">
        <f>'Table 4 Level 3'!P65</f>
        <v>594.04</v>
      </c>
      <c r="G66" s="1014">
        <f t="shared" si="3"/>
        <v>0</v>
      </c>
      <c r="H66" s="990">
        <f t="shared" si="4"/>
        <v>0</v>
      </c>
      <c r="I66" s="1024">
        <f t="shared" si="5"/>
        <v>0</v>
      </c>
      <c r="J66" s="990">
        <f t="shared" si="6"/>
        <v>0</v>
      </c>
      <c r="K66" s="990">
        <v>0</v>
      </c>
      <c r="L66" s="990">
        <f t="shared" si="7"/>
        <v>0</v>
      </c>
      <c r="M66" s="990">
        <f t="shared" si="8"/>
        <v>0</v>
      </c>
      <c r="N66" s="986">
        <f>'Table 5C1A-Madison Prep'!N66</f>
        <v>3793</v>
      </c>
      <c r="O66" s="987">
        <f t="shared" si="9"/>
        <v>0</v>
      </c>
      <c r="P66" s="1030">
        <f t="shared" si="10"/>
        <v>0</v>
      </c>
      <c r="Q66" s="987">
        <f t="shared" si="11"/>
        <v>0</v>
      </c>
      <c r="R66" s="987">
        <v>0</v>
      </c>
      <c r="S66" s="987">
        <f t="shared" si="12"/>
        <v>0</v>
      </c>
      <c r="T66" s="987">
        <f t="shared" si="13"/>
        <v>0</v>
      </c>
      <c r="U66" s="988">
        <f t="shared" si="14"/>
        <v>0</v>
      </c>
      <c r="V66" s="988">
        <f t="shared" si="14"/>
        <v>0</v>
      </c>
    </row>
    <row r="67" spans="1:22">
      <c r="A67" s="953">
        <v>61</v>
      </c>
      <c r="B67" s="954" t="s">
        <v>152</v>
      </c>
      <c r="C67" s="1083">
        <v>0</v>
      </c>
      <c r="D67" s="968">
        <f>'Table 3 Levels 1&amp;2'!AL68</f>
        <v>2908.0344869339228</v>
      </c>
      <c r="E67" s="1015">
        <f t="shared" si="2"/>
        <v>0</v>
      </c>
      <c r="F67" s="1015">
        <f>'Table 4 Level 3'!P66</f>
        <v>833.70999999999992</v>
      </c>
      <c r="G67" s="1015">
        <f t="shared" si="3"/>
        <v>0</v>
      </c>
      <c r="H67" s="991">
        <f t="shared" si="4"/>
        <v>0</v>
      </c>
      <c r="I67" s="1025">
        <f t="shared" si="5"/>
        <v>0</v>
      </c>
      <c r="J67" s="991">
        <f t="shared" si="6"/>
        <v>0</v>
      </c>
      <c r="K67" s="991">
        <v>0</v>
      </c>
      <c r="L67" s="991">
        <f t="shared" si="7"/>
        <v>0</v>
      </c>
      <c r="M67" s="991">
        <f t="shared" si="8"/>
        <v>0</v>
      </c>
      <c r="N67" s="981">
        <f>'Table 5C1A-Madison Prep'!N67</f>
        <v>6570</v>
      </c>
      <c r="O67" s="958">
        <f t="shared" si="9"/>
        <v>0</v>
      </c>
      <c r="P67" s="1028">
        <f t="shared" si="10"/>
        <v>0</v>
      </c>
      <c r="Q67" s="958">
        <f t="shared" si="11"/>
        <v>0</v>
      </c>
      <c r="R67" s="958">
        <v>0</v>
      </c>
      <c r="S67" s="958">
        <f t="shared" si="12"/>
        <v>0</v>
      </c>
      <c r="T67" s="958">
        <f t="shared" si="13"/>
        <v>0</v>
      </c>
      <c r="U67" s="959">
        <f t="shared" si="14"/>
        <v>0</v>
      </c>
      <c r="V67" s="959">
        <f t="shared" si="14"/>
        <v>0</v>
      </c>
    </row>
    <row r="68" spans="1:22">
      <c r="A68" s="960">
        <v>62</v>
      </c>
      <c r="B68" s="961" t="s">
        <v>153</v>
      </c>
      <c r="C68" s="1081">
        <v>0</v>
      </c>
      <c r="D68" s="966">
        <f>'Table 3 Levels 1&amp;2'!AL69</f>
        <v>5652.1730736722093</v>
      </c>
      <c r="E68" s="1013">
        <f t="shared" si="2"/>
        <v>0</v>
      </c>
      <c r="F68" s="1013">
        <f>'Table 4 Level 3'!P67</f>
        <v>516.08000000000004</v>
      </c>
      <c r="G68" s="1013">
        <f t="shared" si="3"/>
        <v>0</v>
      </c>
      <c r="H68" s="989">
        <f t="shared" si="4"/>
        <v>0</v>
      </c>
      <c r="I68" s="1023">
        <f t="shared" si="5"/>
        <v>0</v>
      </c>
      <c r="J68" s="989">
        <f t="shared" si="6"/>
        <v>0</v>
      </c>
      <c r="K68" s="989">
        <v>0</v>
      </c>
      <c r="L68" s="989">
        <f t="shared" si="7"/>
        <v>0</v>
      </c>
      <c r="M68" s="989">
        <f t="shared" si="8"/>
        <v>0</v>
      </c>
      <c r="N68" s="981">
        <f>'Table 5C1A-Madison Prep'!N68</f>
        <v>1934</v>
      </c>
      <c r="O68" s="983">
        <f t="shared" si="9"/>
        <v>0</v>
      </c>
      <c r="P68" s="1029">
        <f t="shared" si="10"/>
        <v>0</v>
      </c>
      <c r="Q68" s="983">
        <f t="shared" si="11"/>
        <v>0</v>
      </c>
      <c r="R68" s="983">
        <v>0</v>
      </c>
      <c r="S68" s="983">
        <f t="shared" si="12"/>
        <v>0</v>
      </c>
      <c r="T68" s="983">
        <f t="shared" si="13"/>
        <v>0</v>
      </c>
      <c r="U68" s="984">
        <f t="shared" si="14"/>
        <v>0</v>
      </c>
      <c r="V68" s="984">
        <f t="shared" si="14"/>
        <v>0</v>
      </c>
    </row>
    <row r="69" spans="1:22">
      <c r="A69" s="960">
        <v>63</v>
      </c>
      <c r="B69" s="961" t="s">
        <v>154</v>
      </c>
      <c r="C69" s="1081">
        <v>0</v>
      </c>
      <c r="D69" s="966">
        <f>'Table 3 Levels 1&amp;2'!AL70</f>
        <v>4362.300753810403</v>
      </c>
      <c r="E69" s="1013">
        <f t="shared" si="2"/>
        <v>0</v>
      </c>
      <c r="F69" s="1013">
        <f>'Table 4 Level 3'!P68</f>
        <v>756.79</v>
      </c>
      <c r="G69" s="1013">
        <f t="shared" si="3"/>
        <v>0</v>
      </c>
      <c r="H69" s="989">
        <f t="shared" si="4"/>
        <v>0</v>
      </c>
      <c r="I69" s="1023">
        <f t="shared" si="5"/>
        <v>0</v>
      </c>
      <c r="J69" s="989">
        <f t="shared" si="6"/>
        <v>0</v>
      </c>
      <c r="K69" s="989">
        <v>0</v>
      </c>
      <c r="L69" s="989">
        <f t="shared" si="7"/>
        <v>0</v>
      </c>
      <c r="M69" s="989">
        <f t="shared" si="8"/>
        <v>0</v>
      </c>
      <c r="N69" s="981">
        <f>'Table 5C1A-Madison Prep'!N69</f>
        <v>6787</v>
      </c>
      <c r="O69" s="983">
        <f t="shared" si="9"/>
        <v>0</v>
      </c>
      <c r="P69" s="1029">
        <f t="shared" si="10"/>
        <v>0</v>
      </c>
      <c r="Q69" s="983">
        <f t="shared" si="11"/>
        <v>0</v>
      </c>
      <c r="R69" s="983">
        <v>0</v>
      </c>
      <c r="S69" s="983">
        <f t="shared" si="12"/>
        <v>0</v>
      </c>
      <c r="T69" s="983">
        <f t="shared" si="13"/>
        <v>0</v>
      </c>
      <c r="U69" s="984">
        <f t="shared" si="14"/>
        <v>0</v>
      </c>
      <c r="V69" s="984">
        <f t="shared" si="14"/>
        <v>0</v>
      </c>
    </row>
    <row r="70" spans="1:22">
      <c r="A70" s="960">
        <v>64</v>
      </c>
      <c r="B70" s="961" t="s">
        <v>155</v>
      </c>
      <c r="C70" s="1081">
        <v>0</v>
      </c>
      <c r="D70" s="966">
        <f>'Table 3 Levels 1&amp;2'!AL71</f>
        <v>5960.2049072003338</v>
      </c>
      <c r="E70" s="1013">
        <f t="shared" si="2"/>
        <v>0</v>
      </c>
      <c r="F70" s="1013">
        <f>'Table 4 Level 3'!P69</f>
        <v>592.66</v>
      </c>
      <c r="G70" s="1013">
        <f t="shared" si="3"/>
        <v>0</v>
      </c>
      <c r="H70" s="989">
        <f t="shared" si="4"/>
        <v>0</v>
      </c>
      <c r="I70" s="1023">
        <f t="shared" si="5"/>
        <v>0</v>
      </c>
      <c r="J70" s="989">
        <f t="shared" si="6"/>
        <v>0</v>
      </c>
      <c r="K70" s="989">
        <v>0</v>
      </c>
      <c r="L70" s="989">
        <f t="shared" si="7"/>
        <v>0</v>
      </c>
      <c r="M70" s="989">
        <f t="shared" si="8"/>
        <v>0</v>
      </c>
      <c r="N70" s="981">
        <f>'Table 5C1A-Madison Prep'!N70</f>
        <v>2901</v>
      </c>
      <c r="O70" s="983">
        <f t="shared" si="9"/>
        <v>0</v>
      </c>
      <c r="P70" s="1029">
        <f t="shared" si="10"/>
        <v>0</v>
      </c>
      <c r="Q70" s="983">
        <f t="shared" si="11"/>
        <v>0</v>
      </c>
      <c r="R70" s="983">
        <v>0</v>
      </c>
      <c r="S70" s="983">
        <f t="shared" si="12"/>
        <v>0</v>
      </c>
      <c r="T70" s="983">
        <f t="shared" si="13"/>
        <v>0</v>
      </c>
      <c r="U70" s="984">
        <f t="shared" si="14"/>
        <v>0</v>
      </c>
      <c r="V70" s="984">
        <f t="shared" si="14"/>
        <v>0</v>
      </c>
    </row>
    <row r="71" spans="1:22">
      <c r="A71" s="963">
        <v>65</v>
      </c>
      <c r="B71" s="964" t="s">
        <v>156</v>
      </c>
      <c r="C71" s="1082">
        <v>0</v>
      </c>
      <c r="D71" s="967">
        <f>'Table 3 Levels 1&amp;2'!AL72</f>
        <v>4579.2772303106676</v>
      </c>
      <c r="E71" s="1014">
        <f t="shared" si="2"/>
        <v>0</v>
      </c>
      <c r="F71" s="1014">
        <f>'Table 4 Level 3'!P70</f>
        <v>829.12</v>
      </c>
      <c r="G71" s="1014">
        <f t="shared" si="3"/>
        <v>0</v>
      </c>
      <c r="H71" s="990">
        <f t="shared" si="4"/>
        <v>0</v>
      </c>
      <c r="I71" s="1024">
        <f t="shared" si="5"/>
        <v>0</v>
      </c>
      <c r="J71" s="990">
        <f t="shared" si="6"/>
        <v>0</v>
      </c>
      <c r="K71" s="990">
        <v>0</v>
      </c>
      <c r="L71" s="990">
        <f t="shared" si="7"/>
        <v>0</v>
      </c>
      <c r="M71" s="990">
        <f t="shared" si="8"/>
        <v>0</v>
      </c>
      <c r="N71" s="986">
        <f>'Table 5C1A-Madison Prep'!N71</f>
        <v>5001</v>
      </c>
      <c r="O71" s="987">
        <f t="shared" si="9"/>
        <v>0</v>
      </c>
      <c r="P71" s="1030">
        <f t="shared" si="10"/>
        <v>0</v>
      </c>
      <c r="Q71" s="987">
        <f t="shared" si="11"/>
        <v>0</v>
      </c>
      <c r="R71" s="987">
        <v>0</v>
      </c>
      <c r="S71" s="987">
        <f t="shared" si="12"/>
        <v>0</v>
      </c>
      <c r="T71" s="987">
        <f t="shared" si="13"/>
        <v>0</v>
      </c>
      <c r="U71" s="988">
        <f t="shared" si="14"/>
        <v>0</v>
      </c>
      <c r="V71" s="988">
        <f t="shared" si="14"/>
        <v>0</v>
      </c>
    </row>
    <row r="72" spans="1:22">
      <c r="A72" s="953">
        <v>66</v>
      </c>
      <c r="B72" s="954" t="s">
        <v>157</v>
      </c>
      <c r="C72" s="1083">
        <v>0</v>
      </c>
      <c r="D72" s="968">
        <f>'Table 3 Levels 1&amp;2'!AL73</f>
        <v>6370.8108195713585</v>
      </c>
      <c r="E72" s="1015">
        <f t="shared" ref="E72:E75" si="15">C72*D72</f>
        <v>0</v>
      </c>
      <c r="F72" s="1015">
        <f>'Table 4 Level 3'!P71</f>
        <v>730.06</v>
      </c>
      <c r="G72" s="1015">
        <f t="shared" ref="G72:G75" si="16">C72*F72</f>
        <v>0</v>
      </c>
      <c r="H72" s="991">
        <f t="shared" ref="H72:H75" si="17">E72+G72</f>
        <v>0</v>
      </c>
      <c r="I72" s="1025">
        <f t="shared" ref="I72:I75" si="18">-(0.25%*H72)</f>
        <v>0</v>
      </c>
      <c r="J72" s="991">
        <f t="shared" ref="J72:J75" si="19">SUM(H72:I72)</f>
        <v>0</v>
      </c>
      <c r="K72" s="991">
        <v>0</v>
      </c>
      <c r="L72" s="991">
        <f t="shared" ref="L72:L75" si="20">SUM(J72:K72)</f>
        <v>0</v>
      </c>
      <c r="M72" s="991">
        <f t="shared" ref="M72:M75" si="21">L72/12</f>
        <v>0</v>
      </c>
      <c r="N72" s="981">
        <f>'Table 5C1A-Madison Prep'!N72</f>
        <v>3415</v>
      </c>
      <c r="O72" s="958">
        <f t="shared" ref="O72:O75" si="22">C72*N72</f>
        <v>0</v>
      </c>
      <c r="P72" s="1028">
        <f t="shared" ref="P72:P75" si="23">-(0.25%*O72)</f>
        <v>0</v>
      </c>
      <c r="Q72" s="958">
        <f t="shared" ref="Q72:Q75" si="24">SUM(O72:P72)</f>
        <v>0</v>
      </c>
      <c r="R72" s="958">
        <v>0</v>
      </c>
      <c r="S72" s="958">
        <f t="shared" ref="S72:S75" si="25">SUM(Q72:R72)</f>
        <v>0</v>
      </c>
      <c r="T72" s="958">
        <f t="shared" ref="T72:T75" si="26">S72/12</f>
        <v>0</v>
      </c>
      <c r="U72" s="959">
        <f t="shared" ref="U72:V75" si="27">L72+S72</f>
        <v>0</v>
      </c>
      <c r="V72" s="959">
        <f t="shared" si="27"/>
        <v>0</v>
      </c>
    </row>
    <row r="73" spans="1:22">
      <c r="A73" s="960">
        <v>67</v>
      </c>
      <c r="B73" s="961" t="s">
        <v>32</v>
      </c>
      <c r="C73" s="1081">
        <v>0</v>
      </c>
      <c r="D73" s="966">
        <f>'Table 3 Levels 1&amp;2'!AL74</f>
        <v>4951.6009932106244</v>
      </c>
      <c r="E73" s="1013">
        <f t="shared" si="15"/>
        <v>0</v>
      </c>
      <c r="F73" s="1013">
        <f>'Table 4 Level 3'!P72</f>
        <v>715.61</v>
      </c>
      <c r="G73" s="1013">
        <f t="shared" si="16"/>
        <v>0</v>
      </c>
      <c r="H73" s="989">
        <f t="shared" si="17"/>
        <v>0</v>
      </c>
      <c r="I73" s="1023">
        <f t="shared" si="18"/>
        <v>0</v>
      </c>
      <c r="J73" s="989">
        <f t="shared" si="19"/>
        <v>0</v>
      </c>
      <c r="K73" s="989">
        <v>0</v>
      </c>
      <c r="L73" s="989">
        <f t="shared" si="20"/>
        <v>0</v>
      </c>
      <c r="M73" s="989">
        <f t="shared" si="21"/>
        <v>0</v>
      </c>
      <c r="N73" s="981">
        <f>'Table 5C1A-Madison Prep'!N73</f>
        <v>5221</v>
      </c>
      <c r="O73" s="983">
        <f t="shared" si="22"/>
        <v>0</v>
      </c>
      <c r="P73" s="1029">
        <f t="shared" si="23"/>
        <v>0</v>
      </c>
      <c r="Q73" s="983">
        <f t="shared" si="24"/>
        <v>0</v>
      </c>
      <c r="R73" s="983">
        <v>0</v>
      </c>
      <c r="S73" s="983">
        <f t="shared" si="25"/>
        <v>0</v>
      </c>
      <c r="T73" s="983">
        <f t="shared" si="26"/>
        <v>0</v>
      </c>
      <c r="U73" s="984">
        <f t="shared" si="27"/>
        <v>0</v>
      </c>
      <c r="V73" s="984">
        <f t="shared" si="27"/>
        <v>0</v>
      </c>
    </row>
    <row r="74" spans="1:22">
      <c r="A74" s="960">
        <v>68</v>
      </c>
      <c r="B74" s="961" t="s">
        <v>30</v>
      </c>
      <c r="C74" s="1081">
        <f>ROUND(614*1%,0)</f>
        <v>6</v>
      </c>
      <c r="D74" s="966">
        <f>'Table 3 Levels 1&amp;2'!AL75</f>
        <v>6077.2398733698947</v>
      </c>
      <c r="E74" s="1013">
        <f t="shared" si="15"/>
        <v>36463.43924021937</v>
      </c>
      <c r="F74" s="1013">
        <f>'Table 4 Level 3'!P73</f>
        <v>798.7</v>
      </c>
      <c r="G74" s="1013">
        <f t="shared" si="16"/>
        <v>4792.2000000000007</v>
      </c>
      <c r="H74" s="989">
        <f t="shared" si="17"/>
        <v>41255.639240219374</v>
      </c>
      <c r="I74" s="1023">
        <f t="shared" si="18"/>
        <v>-103.13909810054844</v>
      </c>
      <c r="J74" s="989">
        <f t="shared" si="19"/>
        <v>41152.500142118828</v>
      </c>
      <c r="K74" s="989">
        <v>0</v>
      </c>
      <c r="L74" s="989">
        <f t="shared" si="20"/>
        <v>41152.500142118828</v>
      </c>
      <c r="M74" s="989">
        <f t="shared" si="21"/>
        <v>3429.3750118432358</v>
      </c>
      <c r="N74" s="981">
        <f>'Table 5C1A-Madison Prep'!N74</f>
        <v>2680</v>
      </c>
      <c r="O74" s="983">
        <f t="shared" si="22"/>
        <v>16080</v>
      </c>
      <c r="P74" s="1029">
        <f t="shared" si="23"/>
        <v>-40.200000000000003</v>
      </c>
      <c r="Q74" s="983">
        <f t="shared" si="24"/>
        <v>16039.8</v>
      </c>
      <c r="R74" s="983">
        <v>0</v>
      </c>
      <c r="S74" s="983">
        <f t="shared" si="25"/>
        <v>16039.8</v>
      </c>
      <c r="T74" s="983">
        <f t="shared" si="26"/>
        <v>1336.6499999999999</v>
      </c>
      <c r="U74" s="984">
        <f t="shared" si="27"/>
        <v>57192.300142118824</v>
      </c>
      <c r="V74" s="984">
        <f t="shared" si="27"/>
        <v>4766.0250118432359</v>
      </c>
    </row>
    <row r="75" spans="1:22">
      <c r="A75" s="969">
        <v>69</v>
      </c>
      <c r="B75" s="970" t="s">
        <v>208</v>
      </c>
      <c r="C75" s="1084">
        <v>0</v>
      </c>
      <c r="D75" s="971">
        <f>'Table 3 Levels 1&amp;2'!AL76</f>
        <v>5585.8253106686579</v>
      </c>
      <c r="E75" s="1016">
        <f t="shared" si="15"/>
        <v>0</v>
      </c>
      <c r="F75" s="1016">
        <f>'Table 4 Level 3'!P74</f>
        <v>705.67</v>
      </c>
      <c r="G75" s="1016">
        <f t="shared" si="16"/>
        <v>0</v>
      </c>
      <c r="H75" s="992">
        <f t="shared" si="17"/>
        <v>0</v>
      </c>
      <c r="I75" s="1026">
        <f t="shared" si="18"/>
        <v>0</v>
      </c>
      <c r="J75" s="992">
        <f t="shared" si="19"/>
        <v>0</v>
      </c>
      <c r="K75" s="992">
        <v>0</v>
      </c>
      <c r="L75" s="992">
        <f t="shared" si="20"/>
        <v>0</v>
      </c>
      <c r="M75" s="992">
        <f t="shared" si="21"/>
        <v>0</v>
      </c>
      <c r="N75" s="981">
        <f>'Table 5C1A-Madison Prep'!N75</f>
        <v>3263</v>
      </c>
      <c r="O75" s="993">
        <f t="shared" si="22"/>
        <v>0</v>
      </c>
      <c r="P75" s="1031">
        <f t="shared" si="23"/>
        <v>0</v>
      </c>
      <c r="Q75" s="993">
        <f t="shared" si="24"/>
        <v>0</v>
      </c>
      <c r="R75" s="993">
        <v>0</v>
      </c>
      <c r="S75" s="993">
        <f t="shared" si="25"/>
        <v>0</v>
      </c>
      <c r="T75" s="993">
        <f t="shared" si="26"/>
        <v>0</v>
      </c>
      <c r="U75" s="994">
        <f t="shared" si="27"/>
        <v>0</v>
      </c>
      <c r="V75" s="994">
        <f t="shared" si="27"/>
        <v>0</v>
      </c>
    </row>
    <row r="76" spans="1:22" ht="13.5" thickBot="1">
      <c r="A76" s="972"/>
      <c r="B76" s="973" t="s">
        <v>158</v>
      </c>
      <c r="C76" s="974">
        <f>SUM(C7:C75)</f>
        <v>614</v>
      </c>
      <c r="D76" s="975"/>
      <c r="E76" s="1017">
        <f>SUM(E7:E75)</f>
        <v>2050807.9510717019</v>
      </c>
      <c r="F76" s="1017">
        <f>'[17]Table 4 Level 3'!P75</f>
        <v>703.90028204588873</v>
      </c>
      <c r="G76" s="1017">
        <f t="shared" ref="G76:L76" si="28">SUM(G7:G75)</f>
        <v>492090.59549418534</v>
      </c>
      <c r="H76" s="976">
        <f t="shared" si="28"/>
        <v>2542898.5465658871</v>
      </c>
      <c r="I76" s="1027">
        <f t="shared" si="28"/>
        <v>-6357.2463664147181</v>
      </c>
      <c r="J76" s="976">
        <f t="shared" si="28"/>
        <v>2536541.3001994723</v>
      </c>
      <c r="K76" s="976">
        <f t="shared" si="28"/>
        <v>0</v>
      </c>
      <c r="L76" s="976">
        <f t="shared" si="28"/>
        <v>2536541.3001994723</v>
      </c>
      <c r="M76" s="976">
        <f>SUM(M7:M75)</f>
        <v>211378.44168328933</v>
      </c>
      <c r="N76" s="995">
        <f>'Table 5C1A-Madison Prep'!N76</f>
        <v>4503</v>
      </c>
      <c r="O76" s="977">
        <f t="shared" ref="O76:V76" si="29">SUM(O7:O75)</f>
        <v>4128592</v>
      </c>
      <c r="P76" s="1032">
        <f t="shared" si="29"/>
        <v>-10321.480000000001</v>
      </c>
      <c r="Q76" s="977">
        <f t="shared" si="29"/>
        <v>4118270.52</v>
      </c>
      <c r="R76" s="977">
        <f t="shared" si="29"/>
        <v>0</v>
      </c>
      <c r="S76" s="977">
        <f t="shared" si="29"/>
        <v>4118270.52</v>
      </c>
      <c r="T76" s="977">
        <f t="shared" si="29"/>
        <v>343189.21</v>
      </c>
      <c r="U76" s="978">
        <f t="shared" si="29"/>
        <v>6654811.8201994728</v>
      </c>
      <c r="V76" s="978">
        <f t="shared" si="29"/>
        <v>554567.65168328932</v>
      </c>
    </row>
    <row r="77" spans="1:22" ht="13.5" thickTop="1"/>
  </sheetData>
  <mergeCells count="19">
    <mergeCell ref="U2:U4"/>
    <mergeCell ref="V2:V4"/>
    <mergeCell ref="C3:C4"/>
    <mergeCell ref="D3:D4"/>
    <mergeCell ref="E3:E4"/>
    <mergeCell ref="F3:F4"/>
    <mergeCell ref="G3:G4"/>
    <mergeCell ref="Q3:Q4"/>
    <mergeCell ref="R3:R4"/>
    <mergeCell ref="S3:S4"/>
    <mergeCell ref="H3:H4"/>
    <mergeCell ref="J3:J4"/>
    <mergeCell ref="K3:K4"/>
    <mergeCell ref="L3:L4"/>
    <mergeCell ref="M3:M4"/>
    <mergeCell ref="N3:N4"/>
    <mergeCell ref="A2:B4"/>
    <mergeCell ref="C2:M2"/>
    <mergeCell ref="N2:T2"/>
  </mergeCells>
  <pageMargins left="0.34" right="0.46" top="0.75" bottom="0.75" header="0.3" footer="0.3"/>
  <pageSetup paperSize="5" scale="60" firstPageNumber="64" orientation="portrait" useFirstPageNumber="1" r:id="rId1"/>
  <headerFooter>
    <oddHeader>&amp;L&amp;"Arial,Bold"&amp;20Table 5C1-M: FY2013-14 MFP Budget Letter 
East Baton Rouge Charter Academy</oddHeader>
    <oddFooter>&amp;R&amp;P</oddFooter>
  </headerFooter>
  <colBreaks count="1" manualBreakCount="1">
    <brk id="13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view="pageBreakPreview" zoomScale="90" zoomScaleNormal="100" zoomScaleSheetLayoutView="90" workbookViewId="0">
      <pane xSplit="2" ySplit="6" topLeftCell="K7" activePane="bottomRight" state="frozen"/>
      <selection activeCell="B1" sqref="B1:B2"/>
      <selection pane="topRight" activeCell="B1" sqref="B1:B2"/>
      <selection pane="bottomLeft" activeCell="B1" sqref="B1:B2"/>
      <selection pane="bottomRight" activeCell="N8" sqref="N8:N76"/>
    </sheetView>
  </sheetViews>
  <sheetFormatPr defaultRowHeight="12.75"/>
  <cols>
    <col min="1" max="1" width="4.28515625" style="1077" customWidth="1"/>
    <col min="2" max="2" width="17.85546875" style="1077" bestFit="1" customWidth="1"/>
    <col min="3" max="3" width="12.7109375" style="1077" customWidth="1"/>
    <col min="4" max="4" width="17" style="1077" customWidth="1"/>
    <col min="5" max="5" width="11" style="1077" bestFit="1" customWidth="1"/>
    <col min="6" max="6" width="12" style="1077" customWidth="1"/>
    <col min="7" max="7" width="13.28515625" style="1077" customWidth="1"/>
    <col min="8" max="8" width="14.5703125" style="1077" customWidth="1"/>
    <col min="9" max="9" width="12.28515625" style="1077" customWidth="1"/>
    <col min="10" max="10" width="12" style="1077" bestFit="1" customWidth="1"/>
    <col min="11" max="11" width="13.42578125" style="1077" bestFit="1" customWidth="1"/>
    <col min="12" max="12" width="14" style="1077" customWidth="1"/>
    <col min="13" max="13" width="9.28515625" style="1077" bestFit="1" customWidth="1"/>
    <col min="14" max="14" width="17.28515625" style="1077" customWidth="1"/>
    <col min="15" max="15" width="16.7109375" style="1077" customWidth="1"/>
    <col min="16" max="16" width="13.7109375" style="1077" customWidth="1"/>
    <col min="17" max="17" width="17" style="1077" customWidth="1"/>
    <col min="18" max="18" width="15.28515625" style="1077" customWidth="1"/>
    <col min="19" max="19" width="13.140625" style="1077" customWidth="1"/>
    <col min="20" max="20" width="12" style="1077" customWidth="1"/>
    <col min="21" max="21" width="11" style="1077" customWidth="1"/>
    <col min="22" max="22" width="12.140625" style="1077" customWidth="1"/>
    <col min="23" max="16384" width="9.140625" style="1077"/>
  </cols>
  <sheetData>
    <row r="1" spans="1:22">
      <c r="C1" s="1238"/>
      <c r="D1" s="1238"/>
      <c r="E1" s="1238"/>
      <c r="F1" s="1238"/>
      <c r="G1" s="1238"/>
      <c r="H1" s="1238"/>
      <c r="I1" s="1238"/>
      <c r="J1" s="1238"/>
      <c r="K1" s="1238"/>
      <c r="L1" s="1238"/>
      <c r="M1" s="1238"/>
    </row>
    <row r="2" spans="1:22" ht="45" customHeight="1">
      <c r="A2" s="1742" t="s">
        <v>957</v>
      </c>
      <c r="B2" s="1743"/>
      <c r="C2" s="1718" t="s">
        <v>686</v>
      </c>
      <c r="D2" s="1719"/>
      <c r="E2" s="1719"/>
      <c r="F2" s="1719"/>
      <c r="G2" s="1719"/>
      <c r="H2" s="1719"/>
      <c r="I2" s="1719"/>
      <c r="J2" s="1719"/>
      <c r="K2" s="1719"/>
      <c r="L2" s="1719"/>
      <c r="M2" s="1720"/>
      <c r="N2" s="1700" t="s">
        <v>656</v>
      </c>
      <c r="O2" s="1701"/>
      <c r="P2" s="1701"/>
      <c r="Q2" s="1701"/>
      <c r="R2" s="1701"/>
      <c r="S2" s="1701"/>
      <c r="T2" s="1702"/>
      <c r="U2" s="1703" t="s">
        <v>695</v>
      </c>
      <c r="V2" s="1703" t="s">
        <v>654</v>
      </c>
    </row>
    <row r="3" spans="1:22" ht="106.5" customHeight="1">
      <c r="A3" s="1744"/>
      <c r="B3" s="1745"/>
      <c r="C3" s="1748" t="s">
        <v>589</v>
      </c>
      <c r="D3" s="1717" t="s">
        <v>744</v>
      </c>
      <c r="E3" s="1717" t="s">
        <v>687</v>
      </c>
      <c r="F3" s="1706" t="s">
        <v>501</v>
      </c>
      <c r="G3" s="1706" t="s">
        <v>445</v>
      </c>
      <c r="H3" s="1706" t="s">
        <v>688</v>
      </c>
      <c r="I3" s="1277" t="s">
        <v>456</v>
      </c>
      <c r="J3" s="1706" t="s">
        <v>689</v>
      </c>
      <c r="K3" s="1706" t="s">
        <v>967</v>
      </c>
      <c r="L3" s="1706" t="s">
        <v>690</v>
      </c>
      <c r="M3" s="1717" t="s">
        <v>655</v>
      </c>
      <c r="N3" s="1709" t="s">
        <v>527</v>
      </c>
      <c r="O3" s="1278" t="s">
        <v>691</v>
      </c>
      <c r="P3" s="1278" t="s">
        <v>457</v>
      </c>
      <c r="Q3" s="1709" t="s">
        <v>692</v>
      </c>
      <c r="R3" s="1709" t="s">
        <v>967</v>
      </c>
      <c r="S3" s="1709" t="s">
        <v>693</v>
      </c>
      <c r="T3" s="1278" t="s">
        <v>694</v>
      </c>
      <c r="U3" s="1704"/>
      <c r="V3" s="1704"/>
    </row>
    <row r="4" spans="1:22" ht="30.75" customHeight="1">
      <c r="A4" s="1746"/>
      <c r="B4" s="1747"/>
      <c r="C4" s="1749"/>
      <c r="D4" s="1717"/>
      <c r="E4" s="1717"/>
      <c r="F4" s="1707"/>
      <c r="G4" s="1707"/>
      <c r="H4" s="1707"/>
      <c r="I4" s="1018">
        <v>2.5000000000000001E-3</v>
      </c>
      <c r="J4" s="1707"/>
      <c r="K4" s="1707"/>
      <c r="L4" s="1707"/>
      <c r="M4" s="1717"/>
      <c r="N4" s="1710"/>
      <c r="O4" s="1276"/>
      <c r="P4" s="1019">
        <v>2.5000000000000001E-3</v>
      </c>
      <c r="Q4" s="1710"/>
      <c r="R4" s="1710"/>
      <c r="S4" s="1710"/>
      <c r="T4" s="1276"/>
      <c r="U4" s="1705"/>
      <c r="V4" s="1705"/>
    </row>
    <row r="5" spans="1:22" ht="14.25" customHeight="1">
      <c r="A5" s="950"/>
      <c r="B5" s="951"/>
      <c r="C5" s="952">
        <v>1</v>
      </c>
      <c r="D5" s="952">
        <f t="shared" ref="D5" si="0">C5+1</f>
        <v>2</v>
      </c>
      <c r="E5" s="952">
        <f>D5+1</f>
        <v>3</v>
      </c>
      <c r="F5" s="952">
        <f t="shared" ref="F5:V5" si="1">E5+1</f>
        <v>4</v>
      </c>
      <c r="G5" s="952">
        <f t="shared" si="1"/>
        <v>5</v>
      </c>
      <c r="H5" s="952">
        <f t="shared" si="1"/>
        <v>6</v>
      </c>
      <c r="I5" s="952">
        <f t="shared" si="1"/>
        <v>7</v>
      </c>
      <c r="J5" s="952">
        <f t="shared" si="1"/>
        <v>8</v>
      </c>
      <c r="K5" s="952">
        <f t="shared" si="1"/>
        <v>9</v>
      </c>
      <c r="L5" s="952">
        <f t="shared" si="1"/>
        <v>10</v>
      </c>
      <c r="M5" s="952">
        <f t="shared" si="1"/>
        <v>11</v>
      </c>
      <c r="N5" s="952">
        <f t="shared" si="1"/>
        <v>12</v>
      </c>
      <c r="O5" s="952">
        <f t="shared" si="1"/>
        <v>13</v>
      </c>
      <c r="P5" s="952">
        <f t="shared" si="1"/>
        <v>14</v>
      </c>
      <c r="Q5" s="952">
        <f t="shared" si="1"/>
        <v>15</v>
      </c>
      <c r="R5" s="952">
        <f t="shared" si="1"/>
        <v>16</v>
      </c>
      <c r="S5" s="952">
        <f t="shared" si="1"/>
        <v>17</v>
      </c>
      <c r="T5" s="952">
        <f t="shared" si="1"/>
        <v>18</v>
      </c>
      <c r="U5" s="952">
        <f t="shared" si="1"/>
        <v>19</v>
      </c>
      <c r="V5" s="952">
        <f t="shared" si="1"/>
        <v>20</v>
      </c>
    </row>
    <row r="6" spans="1:22" ht="27" customHeight="1">
      <c r="A6" s="979"/>
      <c r="B6" s="980"/>
      <c r="C6" s="980"/>
      <c r="D6" s="980"/>
      <c r="E6" s="980"/>
      <c r="F6" s="980"/>
      <c r="G6" s="980"/>
      <c r="H6" s="980"/>
      <c r="I6" s="980"/>
      <c r="J6" s="980"/>
      <c r="K6" s="980"/>
      <c r="L6" s="980"/>
      <c r="M6" s="980"/>
      <c r="N6" s="980"/>
      <c r="O6" s="980"/>
      <c r="P6" s="980"/>
      <c r="Q6" s="980"/>
      <c r="R6" s="980"/>
      <c r="S6" s="980"/>
      <c r="T6" s="980"/>
      <c r="U6" s="980"/>
      <c r="V6" s="980"/>
    </row>
    <row r="7" spans="1:22">
      <c r="A7" s="953">
        <v>1</v>
      </c>
      <c r="B7" s="954" t="s">
        <v>93</v>
      </c>
      <c r="C7" s="1080">
        <v>0</v>
      </c>
      <c r="D7" s="956">
        <f>'Table 3 Levels 1&amp;2'!AL8</f>
        <v>4597.5882673899441</v>
      </c>
      <c r="E7" s="1010">
        <f>C7*D7</f>
        <v>0</v>
      </c>
      <c r="F7" s="1010">
        <f>'Table 4 Level 3'!P6</f>
        <v>777.48</v>
      </c>
      <c r="G7" s="1010">
        <f>C7*F7</f>
        <v>0</v>
      </c>
      <c r="H7" s="957">
        <f>E7+G7</f>
        <v>0</v>
      </c>
      <c r="I7" s="1020">
        <f>-(0.25%*H7)</f>
        <v>0</v>
      </c>
      <c r="J7" s="957">
        <f>SUM(H7:I7)</f>
        <v>0</v>
      </c>
      <c r="K7" s="957">
        <v>0</v>
      </c>
      <c r="L7" s="957">
        <f>SUM(J7:K7)</f>
        <v>0</v>
      </c>
      <c r="M7" s="957">
        <f>L7/12</f>
        <v>0</v>
      </c>
      <c r="N7" s="981">
        <f>'Table 5C1A-Madison Prep'!N7</f>
        <v>2168</v>
      </c>
      <c r="O7" s="958">
        <f>C7*N7</f>
        <v>0</v>
      </c>
      <c r="P7" s="1028">
        <f>-(0.25%*O7)</f>
        <v>0</v>
      </c>
      <c r="Q7" s="958">
        <f>SUM(O7:P7)</f>
        <v>0</v>
      </c>
      <c r="R7" s="958">
        <v>0</v>
      </c>
      <c r="S7" s="958">
        <f>SUM(Q7:R7)</f>
        <v>0</v>
      </c>
      <c r="T7" s="958">
        <f>S7/12</f>
        <v>0</v>
      </c>
      <c r="U7" s="959">
        <f>L7+S7</f>
        <v>0</v>
      </c>
      <c r="V7" s="959">
        <f>M7+T7</f>
        <v>0</v>
      </c>
    </row>
    <row r="8" spans="1:22">
      <c r="A8" s="960">
        <v>2</v>
      </c>
      <c r="B8" s="961" t="s">
        <v>94</v>
      </c>
      <c r="C8" s="1078">
        <v>0</v>
      </c>
      <c r="D8" s="962">
        <f>'Table 3 Levels 1&amp;2'!AL9</f>
        <v>6182.4313545138375</v>
      </c>
      <c r="E8" s="1011">
        <f t="shared" ref="E8:E71" si="2">C8*D8</f>
        <v>0</v>
      </c>
      <c r="F8" s="1011">
        <f>'Table 4 Level 3'!P7</f>
        <v>842.32</v>
      </c>
      <c r="G8" s="1011">
        <f t="shared" ref="G8:G71" si="3">C8*F8</f>
        <v>0</v>
      </c>
      <c r="H8" s="982">
        <f t="shared" ref="H8:H71" si="4">E8+G8</f>
        <v>0</v>
      </c>
      <c r="I8" s="1021">
        <f t="shared" ref="I8:I71" si="5">-(0.25%*H8)</f>
        <v>0</v>
      </c>
      <c r="J8" s="982">
        <f t="shared" ref="J8:J71" si="6">SUM(H8:I8)</f>
        <v>0</v>
      </c>
      <c r="K8" s="982">
        <v>0</v>
      </c>
      <c r="L8" s="982">
        <f t="shared" ref="L8:L71" si="7">SUM(J8:K8)</f>
        <v>0</v>
      </c>
      <c r="M8" s="982">
        <f t="shared" ref="M8:M71" si="8">L8/12</f>
        <v>0</v>
      </c>
      <c r="N8" s="981">
        <f>'Table 5C1A-Madison Prep'!N8</f>
        <v>2627</v>
      </c>
      <c r="O8" s="983">
        <f t="shared" ref="O8:O71" si="9">C8*N8</f>
        <v>0</v>
      </c>
      <c r="P8" s="1029">
        <f t="shared" ref="P8:P71" si="10">-(0.25%*O8)</f>
        <v>0</v>
      </c>
      <c r="Q8" s="983">
        <f t="shared" ref="Q8:Q71" si="11">SUM(O8:P8)</f>
        <v>0</v>
      </c>
      <c r="R8" s="983">
        <v>0</v>
      </c>
      <c r="S8" s="983">
        <f t="shared" ref="S8:S71" si="12">SUM(Q8:R8)</f>
        <v>0</v>
      </c>
      <c r="T8" s="983">
        <f t="shared" ref="T8:T71" si="13">S8/12</f>
        <v>0</v>
      </c>
      <c r="U8" s="984">
        <f t="shared" ref="U8:V71" si="14">L8+S8</f>
        <v>0</v>
      </c>
      <c r="V8" s="984">
        <f t="shared" si="14"/>
        <v>0</v>
      </c>
    </row>
    <row r="9" spans="1:22">
      <c r="A9" s="960">
        <v>3</v>
      </c>
      <c r="B9" s="961" t="s">
        <v>95</v>
      </c>
      <c r="C9" s="1078">
        <v>0</v>
      </c>
      <c r="D9" s="962">
        <f>'Table 3 Levels 1&amp;2'!AL10</f>
        <v>4206.710737685361</v>
      </c>
      <c r="E9" s="1011">
        <f t="shared" si="2"/>
        <v>0</v>
      </c>
      <c r="F9" s="1011">
        <f>'Table 4 Level 3'!P8</f>
        <v>596.84</v>
      </c>
      <c r="G9" s="1011">
        <f t="shared" si="3"/>
        <v>0</v>
      </c>
      <c r="H9" s="982">
        <f t="shared" si="4"/>
        <v>0</v>
      </c>
      <c r="I9" s="1021">
        <f t="shared" si="5"/>
        <v>0</v>
      </c>
      <c r="J9" s="982">
        <f t="shared" si="6"/>
        <v>0</v>
      </c>
      <c r="K9" s="982">
        <v>0</v>
      </c>
      <c r="L9" s="982">
        <f t="shared" si="7"/>
        <v>0</v>
      </c>
      <c r="M9" s="982">
        <f t="shared" si="8"/>
        <v>0</v>
      </c>
      <c r="N9" s="981">
        <f>'Table 5C1A-Madison Prep'!N9</f>
        <v>5431</v>
      </c>
      <c r="O9" s="983">
        <f t="shared" si="9"/>
        <v>0</v>
      </c>
      <c r="P9" s="1029">
        <f t="shared" si="10"/>
        <v>0</v>
      </c>
      <c r="Q9" s="983">
        <f t="shared" si="11"/>
        <v>0</v>
      </c>
      <c r="R9" s="983">
        <v>0</v>
      </c>
      <c r="S9" s="983">
        <f t="shared" si="12"/>
        <v>0</v>
      </c>
      <c r="T9" s="983">
        <f t="shared" si="13"/>
        <v>0</v>
      </c>
      <c r="U9" s="984">
        <f t="shared" si="14"/>
        <v>0</v>
      </c>
      <c r="V9" s="984">
        <f t="shared" si="14"/>
        <v>0</v>
      </c>
    </row>
    <row r="10" spans="1:22">
      <c r="A10" s="960">
        <v>4</v>
      </c>
      <c r="B10" s="961" t="s">
        <v>96</v>
      </c>
      <c r="C10" s="1078">
        <v>0</v>
      </c>
      <c r="D10" s="962">
        <f>'Table 3 Levels 1&amp;2'!AL11</f>
        <v>5987.4993535453223</v>
      </c>
      <c r="E10" s="1011">
        <f t="shared" si="2"/>
        <v>0</v>
      </c>
      <c r="F10" s="1011">
        <f>'Table 4 Level 3'!P9</f>
        <v>585.76</v>
      </c>
      <c r="G10" s="1011">
        <f t="shared" si="3"/>
        <v>0</v>
      </c>
      <c r="H10" s="982">
        <f t="shared" si="4"/>
        <v>0</v>
      </c>
      <c r="I10" s="1021">
        <f t="shared" si="5"/>
        <v>0</v>
      </c>
      <c r="J10" s="982">
        <f t="shared" si="6"/>
        <v>0</v>
      </c>
      <c r="K10" s="982">
        <v>0</v>
      </c>
      <c r="L10" s="982">
        <f t="shared" si="7"/>
        <v>0</v>
      </c>
      <c r="M10" s="982">
        <f t="shared" si="8"/>
        <v>0</v>
      </c>
      <c r="N10" s="981">
        <f>'Table 5C1A-Madison Prep'!N10</f>
        <v>3029</v>
      </c>
      <c r="O10" s="983">
        <f t="shared" si="9"/>
        <v>0</v>
      </c>
      <c r="P10" s="1029">
        <f t="shared" si="10"/>
        <v>0</v>
      </c>
      <c r="Q10" s="983">
        <f t="shared" si="11"/>
        <v>0</v>
      </c>
      <c r="R10" s="983">
        <v>0</v>
      </c>
      <c r="S10" s="983">
        <f t="shared" si="12"/>
        <v>0</v>
      </c>
      <c r="T10" s="983">
        <f t="shared" si="13"/>
        <v>0</v>
      </c>
      <c r="U10" s="984">
        <f t="shared" si="14"/>
        <v>0</v>
      </c>
      <c r="V10" s="984">
        <f t="shared" si="14"/>
        <v>0</v>
      </c>
    </row>
    <row r="11" spans="1:22">
      <c r="A11" s="963">
        <v>5</v>
      </c>
      <c r="B11" s="964" t="s">
        <v>97</v>
      </c>
      <c r="C11" s="1079">
        <v>0</v>
      </c>
      <c r="D11" s="965">
        <f>'Table 3 Levels 1&amp;2'!AL12</f>
        <v>4986.8166927080074</v>
      </c>
      <c r="E11" s="1012">
        <f t="shared" si="2"/>
        <v>0</v>
      </c>
      <c r="F11" s="1012">
        <f>'Table 4 Level 3'!P10</f>
        <v>555.91</v>
      </c>
      <c r="G11" s="1012">
        <f t="shared" si="3"/>
        <v>0</v>
      </c>
      <c r="H11" s="985">
        <f t="shared" si="4"/>
        <v>0</v>
      </c>
      <c r="I11" s="1022">
        <f t="shared" si="5"/>
        <v>0</v>
      </c>
      <c r="J11" s="985">
        <f t="shared" si="6"/>
        <v>0</v>
      </c>
      <c r="K11" s="985">
        <v>0</v>
      </c>
      <c r="L11" s="985">
        <f t="shared" si="7"/>
        <v>0</v>
      </c>
      <c r="M11" s="985">
        <f t="shared" si="8"/>
        <v>0</v>
      </c>
      <c r="N11" s="986">
        <f>'Table 5C1A-Madison Prep'!N11</f>
        <v>1751</v>
      </c>
      <c r="O11" s="987">
        <f t="shared" si="9"/>
        <v>0</v>
      </c>
      <c r="P11" s="1030">
        <f t="shared" si="10"/>
        <v>0</v>
      </c>
      <c r="Q11" s="987">
        <f t="shared" si="11"/>
        <v>0</v>
      </c>
      <c r="R11" s="987">
        <v>0</v>
      </c>
      <c r="S11" s="987">
        <f t="shared" si="12"/>
        <v>0</v>
      </c>
      <c r="T11" s="987">
        <f t="shared" si="13"/>
        <v>0</v>
      </c>
      <c r="U11" s="988">
        <f t="shared" si="14"/>
        <v>0</v>
      </c>
      <c r="V11" s="988">
        <f t="shared" si="14"/>
        <v>0</v>
      </c>
    </row>
    <row r="12" spans="1:22">
      <c r="A12" s="953">
        <v>6</v>
      </c>
      <c r="B12" s="954" t="s">
        <v>98</v>
      </c>
      <c r="C12" s="1080">
        <v>0</v>
      </c>
      <c r="D12" s="956">
        <f>'Table 3 Levels 1&amp;2'!AL13</f>
        <v>5412.7883404260592</v>
      </c>
      <c r="E12" s="1010">
        <f t="shared" si="2"/>
        <v>0</v>
      </c>
      <c r="F12" s="1010">
        <f>'Table 4 Level 3'!P11</f>
        <v>545.4799999999999</v>
      </c>
      <c r="G12" s="1010">
        <f t="shared" si="3"/>
        <v>0</v>
      </c>
      <c r="H12" s="957">
        <f t="shared" si="4"/>
        <v>0</v>
      </c>
      <c r="I12" s="1020">
        <f t="shared" si="5"/>
        <v>0</v>
      </c>
      <c r="J12" s="957">
        <f t="shared" si="6"/>
        <v>0</v>
      </c>
      <c r="K12" s="957">
        <v>0</v>
      </c>
      <c r="L12" s="957">
        <f t="shared" si="7"/>
        <v>0</v>
      </c>
      <c r="M12" s="957">
        <f t="shared" si="8"/>
        <v>0</v>
      </c>
      <c r="N12" s="981">
        <f>'Table 5C1A-Madison Prep'!N12</f>
        <v>3735</v>
      </c>
      <c r="O12" s="958">
        <f t="shared" si="9"/>
        <v>0</v>
      </c>
      <c r="P12" s="1028">
        <f t="shared" si="10"/>
        <v>0</v>
      </c>
      <c r="Q12" s="958">
        <f t="shared" si="11"/>
        <v>0</v>
      </c>
      <c r="R12" s="958">
        <v>0</v>
      </c>
      <c r="S12" s="958">
        <f t="shared" si="12"/>
        <v>0</v>
      </c>
      <c r="T12" s="958">
        <f t="shared" si="13"/>
        <v>0</v>
      </c>
      <c r="U12" s="959">
        <f t="shared" si="14"/>
        <v>0</v>
      </c>
      <c r="V12" s="959">
        <f t="shared" si="14"/>
        <v>0</v>
      </c>
    </row>
    <row r="13" spans="1:22">
      <c r="A13" s="960">
        <v>7</v>
      </c>
      <c r="B13" s="961" t="s">
        <v>99</v>
      </c>
      <c r="C13" s="1078">
        <v>0</v>
      </c>
      <c r="D13" s="962">
        <f>'Table 3 Levels 1&amp;2'!AL14</f>
        <v>1766.1023604176123</v>
      </c>
      <c r="E13" s="1011">
        <f t="shared" si="2"/>
        <v>0</v>
      </c>
      <c r="F13" s="1011">
        <f>'Table 4 Level 3'!P12</f>
        <v>756.91999999999985</v>
      </c>
      <c r="G13" s="1011">
        <f t="shared" si="3"/>
        <v>0</v>
      </c>
      <c r="H13" s="982">
        <f t="shared" si="4"/>
        <v>0</v>
      </c>
      <c r="I13" s="1021">
        <f t="shared" si="5"/>
        <v>0</v>
      </c>
      <c r="J13" s="982">
        <f t="shared" si="6"/>
        <v>0</v>
      </c>
      <c r="K13" s="982">
        <v>0</v>
      </c>
      <c r="L13" s="982">
        <f t="shared" si="7"/>
        <v>0</v>
      </c>
      <c r="M13" s="982">
        <f t="shared" si="8"/>
        <v>0</v>
      </c>
      <c r="N13" s="981">
        <f>'Table 5C1A-Madison Prep'!N13</f>
        <v>11329</v>
      </c>
      <c r="O13" s="983">
        <f t="shared" si="9"/>
        <v>0</v>
      </c>
      <c r="P13" s="1029">
        <f t="shared" si="10"/>
        <v>0</v>
      </c>
      <c r="Q13" s="983">
        <f t="shared" si="11"/>
        <v>0</v>
      </c>
      <c r="R13" s="983">
        <v>0</v>
      </c>
      <c r="S13" s="983">
        <f t="shared" si="12"/>
        <v>0</v>
      </c>
      <c r="T13" s="983">
        <f t="shared" si="13"/>
        <v>0</v>
      </c>
      <c r="U13" s="984">
        <f t="shared" si="14"/>
        <v>0</v>
      </c>
      <c r="V13" s="984">
        <f t="shared" si="14"/>
        <v>0</v>
      </c>
    </row>
    <row r="14" spans="1:22">
      <c r="A14" s="960">
        <v>8</v>
      </c>
      <c r="B14" s="961" t="s">
        <v>100</v>
      </c>
      <c r="C14" s="1078">
        <v>0</v>
      </c>
      <c r="D14" s="962">
        <f>'Table 3 Levels 1&amp;2'!AL15</f>
        <v>4289.5073606712331</v>
      </c>
      <c r="E14" s="1011">
        <f t="shared" si="2"/>
        <v>0</v>
      </c>
      <c r="F14" s="1011">
        <f>'Table 4 Level 3'!P13</f>
        <v>725.76</v>
      </c>
      <c r="G14" s="1011">
        <f t="shared" si="3"/>
        <v>0</v>
      </c>
      <c r="H14" s="982">
        <f t="shared" si="4"/>
        <v>0</v>
      </c>
      <c r="I14" s="1021">
        <f t="shared" si="5"/>
        <v>0</v>
      </c>
      <c r="J14" s="982">
        <f t="shared" si="6"/>
        <v>0</v>
      </c>
      <c r="K14" s="982">
        <v>0</v>
      </c>
      <c r="L14" s="982">
        <f t="shared" si="7"/>
        <v>0</v>
      </c>
      <c r="M14" s="982">
        <f t="shared" si="8"/>
        <v>0</v>
      </c>
      <c r="N14" s="981">
        <f>'Table 5C1A-Madison Prep'!N14</f>
        <v>3915</v>
      </c>
      <c r="O14" s="983">
        <f t="shared" si="9"/>
        <v>0</v>
      </c>
      <c r="P14" s="1029">
        <f t="shared" si="10"/>
        <v>0</v>
      </c>
      <c r="Q14" s="983">
        <f t="shared" si="11"/>
        <v>0</v>
      </c>
      <c r="R14" s="983">
        <v>0</v>
      </c>
      <c r="S14" s="983">
        <f t="shared" si="12"/>
        <v>0</v>
      </c>
      <c r="T14" s="983">
        <f t="shared" si="13"/>
        <v>0</v>
      </c>
      <c r="U14" s="984">
        <f t="shared" si="14"/>
        <v>0</v>
      </c>
      <c r="V14" s="984">
        <f t="shared" si="14"/>
        <v>0</v>
      </c>
    </row>
    <row r="15" spans="1:22">
      <c r="A15" s="960">
        <v>9</v>
      </c>
      <c r="B15" s="961" t="s">
        <v>101</v>
      </c>
      <c r="C15" s="1078">
        <v>0</v>
      </c>
      <c r="D15" s="962">
        <f>'Table 3 Levels 1&amp;2'!AL16</f>
        <v>4395.6154516889328</v>
      </c>
      <c r="E15" s="1011">
        <f t="shared" si="2"/>
        <v>0</v>
      </c>
      <c r="F15" s="1011">
        <f>'Table 4 Level 3'!P14</f>
        <v>744.76</v>
      </c>
      <c r="G15" s="1011">
        <f t="shared" si="3"/>
        <v>0</v>
      </c>
      <c r="H15" s="982">
        <f t="shared" si="4"/>
        <v>0</v>
      </c>
      <c r="I15" s="1021">
        <f t="shared" si="5"/>
        <v>0</v>
      </c>
      <c r="J15" s="982">
        <f t="shared" si="6"/>
        <v>0</v>
      </c>
      <c r="K15" s="982">
        <v>0</v>
      </c>
      <c r="L15" s="982">
        <f t="shared" si="7"/>
        <v>0</v>
      </c>
      <c r="M15" s="982">
        <f t="shared" si="8"/>
        <v>0</v>
      </c>
      <c r="N15" s="981">
        <f>'Table 5C1A-Madison Prep'!N15</f>
        <v>4627</v>
      </c>
      <c r="O15" s="983">
        <f t="shared" si="9"/>
        <v>0</v>
      </c>
      <c r="P15" s="1029">
        <f t="shared" si="10"/>
        <v>0</v>
      </c>
      <c r="Q15" s="983">
        <f t="shared" si="11"/>
        <v>0</v>
      </c>
      <c r="R15" s="983">
        <v>0</v>
      </c>
      <c r="S15" s="983">
        <f t="shared" si="12"/>
        <v>0</v>
      </c>
      <c r="T15" s="983">
        <f t="shared" si="13"/>
        <v>0</v>
      </c>
      <c r="U15" s="984">
        <f t="shared" si="14"/>
        <v>0</v>
      </c>
      <c r="V15" s="984">
        <f t="shared" si="14"/>
        <v>0</v>
      </c>
    </row>
    <row r="16" spans="1:22">
      <c r="A16" s="963">
        <v>10</v>
      </c>
      <c r="B16" s="964" t="s">
        <v>102</v>
      </c>
      <c r="C16" s="1079">
        <v>0</v>
      </c>
      <c r="D16" s="965">
        <f>'Table 3 Levels 1&amp;2'!AL17</f>
        <v>4253.5980618992444</v>
      </c>
      <c r="E16" s="1012">
        <f t="shared" si="2"/>
        <v>0</v>
      </c>
      <c r="F16" s="1012">
        <f>'Table 4 Level 3'!P15</f>
        <v>608.04000000000008</v>
      </c>
      <c r="G16" s="1012">
        <f t="shared" si="3"/>
        <v>0</v>
      </c>
      <c r="H16" s="985">
        <f t="shared" si="4"/>
        <v>0</v>
      </c>
      <c r="I16" s="1022">
        <f t="shared" si="5"/>
        <v>0</v>
      </c>
      <c r="J16" s="985">
        <f t="shared" si="6"/>
        <v>0</v>
      </c>
      <c r="K16" s="985">
        <v>0</v>
      </c>
      <c r="L16" s="985">
        <f t="shared" si="7"/>
        <v>0</v>
      </c>
      <c r="M16" s="985">
        <f t="shared" si="8"/>
        <v>0</v>
      </c>
      <c r="N16" s="986">
        <f>'Table 5C1A-Madison Prep'!N16</f>
        <v>4489</v>
      </c>
      <c r="O16" s="987">
        <f t="shared" si="9"/>
        <v>0</v>
      </c>
      <c r="P16" s="1030">
        <f t="shared" si="10"/>
        <v>0</v>
      </c>
      <c r="Q16" s="987">
        <f t="shared" si="11"/>
        <v>0</v>
      </c>
      <c r="R16" s="987">
        <v>0</v>
      </c>
      <c r="S16" s="987">
        <f t="shared" si="12"/>
        <v>0</v>
      </c>
      <c r="T16" s="987">
        <f t="shared" si="13"/>
        <v>0</v>
      </c>
      <c r="U16" s="988">
        <f t="shared" si="14"/>
        <v>0</v>
      </c>
      <c r="V16" s="988">
        <f t="shared" si="14"/>
        <v>0</v>
      </c>
    </row>
    <row r="17" spans="1:22">
      <c r="A17" s="953">
        <v>11</v>
      </c>
      <c r="B17" s="954" t="s">
        <v>103</v>
      </c>
      <c r="C17" s="1080">
        <v>0</v>
      </c>
      <c r="D17" s="956">
        <f>'Table 3 Levels 1&amp;2'!AL18</f>
        <v>6852.9138435383502</v>
      </c>
      <c r="E17" s="1010">
        <f t="shared" si="2"/>
        <v>0</v>
      </c>
      <c r="F17" s="1010">
        <f>'Table 4 Level 3'!P16</f>
        <v>706.55</v>
      </c>
      <c r="G17" s="1010">
        <f t="shared" si="3"/>
        <v>0</v>
      </c>
      <c r="H17" s="957">
        <f t="shared" si="4"/>
        <v>0</v>
      </c>
      <c r="I17" s="1020">
        <f t="shared" si="5"/>
        <v>0</v>
      </c>
      <c r="J17" s="957">
        <f t="shared" si="6"/>
        <v>0</v>
      </c>
      <c r="K17" s="957">
        <v>0</v>
      </c>
      <c r="L17" s="957">
        <f t="shared" si="7"/>
        <v>0</v>
      </c>
      <c r="M17" s="957">
        <f t="shared" si="8"/>
        <v>0</v>
      </c>
      <c r="N17" s="981">
        <f>'Table 5C1A-Madison Prep'!N17</f>
        <v>3654</v>
      </c>
      <c r="O17" s="958">
        <f t="shared" si="9"/>
        <v>0</v>
      </c>
      <c r="P17" s="1028">
        <f t="shared" si="10"/>
        <v>0</v>
      </c>
      <c r="Q17" s="958">
        <f t="shared" si="11"/>
        <v>0</v>
      </c>
      <c r="R17" s="958">
        <v>0</v>
      </c>
      <c r="S17" s="958">
        <f t="shared" si="12"/>
        <v>0</v>
      </c>
      <c r="T17" s="958">
        <f t="shared" si="13"/>
        <v>0</v>
      </c>
      <c r="U17" s="959">
        <f t="shared" si="14"/>
        <v>0</v>
      </c>
      <c r="V17" s="959">
        <f t="shared" si="14"/>
        <v>0</v>
      </c>
    </row>
    <row r="18" spans="1:22">
      <c r="A18" s="960">
        <v>12</v>
      </c>
      <c r="B18" s="961" t="s">
        <v>104</v>
      </c>
      <c r="C18" s="1078">
        <v>0</v>
      </c>
      <c r="D18" s="962">
        <f>'Table 3 Levels 1&amp;2'!AL19</f>
        <v>1733.9056059356967</v>
      </c>
      <c r="E18" s="1011">
        <f t="shared" si="2"/>
        <v>0</v>
      </c>
      <c r="F18" s="1011">
        <f>'Table 4 Level 3'!P17</f>
        <v>1063.31</v>
      </c>
      <c r="G18" s="1011">
        <f t="shared" si="3"/>
        <v>0</v>
      </c>
      <c r="H18" s="982">
        <f t="shared" si="4"/>
        <v>0</v>
      </c>
      <c r="I18" s="1021">
        <f t="shared" si="5"/>
        <v>0</v>
      </c>
      <c r="J18" s="982">
        <f t="shared" si="6"/>
        <v>0</v>
      </c>
      <c r="K18" s="982">
        <v>0</v>
      </c>
      <c r="L18" s="982">
        <f t="shared" si="7"/>
        <v>0</v>
      </c>
      <c r="M18" s="982">
        <f t="shared" si="8"/>
        <v>0</v>
      </c>
      <c r="N18" s="981">
        <f>'Table 5C1A-Madison Prep'!N18</f>
        <v>13767</v>
      </c>
      <c r="O18" s="983">
        <f t="shared" si="9"/>
        <v>0</v>
      </c>
      <c r="P18" s="1029">
        <f t="shared" si="10"/>
        <v>0</v>
      </c>
      <c r="Q18" s="983">
        <f t="shared" si="11"/>
        <v>0</v>
      </c>
      <c r="R18" s="983">
        <v>0</v>
      </c>
      <c r="S18" s="983">
        <f t="shared" si="12"/>
        <v>0</v>
      </c>
      <c r="T18" s="983">
        <f t="shared" si="13"/>
        <v>0</v>
      </c>
      <c r="U18" s="984">
        <f t="shared" si="14"/>
        <v>0</v>
      </c>
      <c r="V18" s="984">
        <f t="shared" si="14"/>
        <v>0</v>
      </c>
    </row>
    <row r="19" spans="1:22">
      <c r="A19" s="960">
        <v>13</v>
      </c>
      <c r="B19" s="961" t="s">
        <v>105</v>
      </c>
      <c r="C19" s="1078">
        <f>ROUND(330*13%,0)</f>
        <v>43</v>
      </c>
      <c r="D19" s="962">
        <f>'Table 3 Levels 1&amp;2'!AL20</f>
        <v>6254.1238637730876</v>
      </c>
      <c r="E19" s="1011">
        <f t="shared" si="2"/>
        <v>268927.32614224276</v>
      </c>
      <c r="F19" s="1011">
        <f>'Table 4 Level 3'!P18</f>
        <v>749.43000000000006</v>
      </c>
      <c r="G19" s="1011">
        <f t="shared" si="3"/>
        <v>32225.49</v>
      </c>
      <c r="H19" s="982">
        <f t="shared" si="4"/>
        <v>301152.81614224275</v>
      </c>
      <c r="I19" s="1021">
        <f t="shared" si="5"/>
        <v>-752.88204035560693</v>
      </c>
      <c r="J19" s="982">
        <f t="shared" si="6"/>
        <v>300399.93410188716</v>
      </c>
      <c r="K19" s="982">
        <v>0</v>
      </c>
      <c r="L19" s="982">
        <f t="shared" si="7"/>
        <v>300399.93410188716</v>
      </c>
      <c r="M19" s="982">
        <f t="shared" si="8"/>
        <v>25033.327841823932</v>
      </c>
      <c r="N19" s="981">
        <f>'Table 5C1A-Madison Prep'!N19</f>
        <v>2525</v>
      </c>
      <c r="O19" s="983">
        <f t="shared" si="9"/>
        <v>108575</v>
      </c>
      <c r="P19" s="1029">
        <f t="shared" si="10"/>
        <v>-271.4375</v>
      </c>
      <c r="Q19" s="983">
        <f t="shared" si="11"/>
        <v>108303.5625</v>
      </c>
      <c r="R19" s="983">
        <v>0</v>
      </c>
      <c r="S19" s="983">
        <f t="shared" si="12"/>
        <v>108303.5625</v>
      </c>
      <c r="T19" s="983">
        <f t="shared" si="13"/>
        <v>9025.296875</v>
      </c>
      <c r="U19" s="984">
        <f t="shared" si="14"/>
        <v>408703.49660188716</v>
      </c>
      <c r="V19" s="984">
        <f t="shared" si="14"/>
        <v>34058.624716823935</v>
      </c>
    </row>
    <row r="20" spans="1:22">
      <c r="A20" s="960">
        <v>14</v>
      </c>
      <c r="B20" s="961" t="s">
        <v>106</v>
      </c>
      <c r="C20" s="1078">
        <v>0</v>
      </c>
      <c r="D20" s="962">
        <f>'Table 3 Levels 1&amp;2'!AL21</f>
        <v>5377.9187438545459</v>
      </c>
      <c r="E20" s="1011">
        <f t="shared" si="2"/>
        <v>0</v>
      </c>
      <c r="F20" s="1011">
        <f>'Table 4 Level 3'!P19</f>
        <v>809.9799999999999</v>
      </c>
      <c r="G20" s="1011">
        <f t="shared" si="3"/>
        <v>0</v>
      </c>
      <c r="H20" s="982">
        <f t="shared" si="4"/>
        <v>0</v>
      </c>
      <c r="I20" s="1021">
        <f t="shared" si="5"/>
        <v>0</v>
      </c>
      <c r="J20" s="982">
        <f t="shared" si="6"/>
        <v>0</v>
      </c>
      <c r="K20" s="982">
        <v>0</v>
      </c>
      <c r="L20" s="982">
        <f t="shared" si="7"/>
        <v>0</v>
      </c>
      <c r="M20" s="982">
        <f t="shared" si="8"/>
        <v>0</v>
      </c>
      <c r="N20" s="981">
        <f>'Table 5C1A-Madison Prep'!N20</f>
        <v>3988</v>
      </c>
      <c r="O20" s="983">
        <f t="shared" si="9"/>
        <v>0</v>
      </c>
      <c r="P20" s="1029">
        <f t="shared" si="10"/>
        <v>0</v>
      </c>
      <c r="Q20" s="983">
        <f t="shared" si="11"/>
        <v>0</v>
      </c>
      <c r="R20" s="983">
        <v>0</v>
      </c>
      <c r="S20" s="983">
        <f t="shared" si="12"/>
        <v>0</v>
      </c>
      <c r="T20" s="983">
        <f t="shared" si="13"/>
        <v>0</v>
      </c>
      <c r="U20" s="984">
        <f t="shared" si="14"/>
        <v>0</v>
      </c>
      <c r="V20" s="984">
        <f t="shared" si="14"/>
        <v>0</v>
      </c>
    </row>
    <row r="21" spans="1:22">
      <c r="A21" s="963">
        <v>15</v>
      </c>
      <c r="B21" s="964" t="s">
        <v>107</v>
      </c>
      <c r="C21" s="1079">
        <f>ROUND(330*87%,0)</f>
        <v>287</v>
      </c>
      <c r="D21" s="965">
        <f>'Table 3 Levels 1&amp;2'!AL22</f>
        <v>5527.7651197617861</v>
      </c>
      <c r="E21" s="1012">
        <f t="shared" si="2"/>
        <v>1586468.5893716326</v>
      </c>
      <c r="F21" s="1012">
        <f>'Table 4 Level 3'!P20</f>
        <v>553.79999999999995</v>
      </c>
      <c r="G21" s="1012">
        <f t="shared" si="3"/>
        <v>158940.59999999998</v>
      </c>
      <c r="H21" s="985">
        <f t="shared" si="4"/>
        <v>1745409.1893716324</v>
      </c>
      <c r="I21" s="1022">
        <f t="shared" si="5"/>
        <v>-4363.5229734290815</v>
      </c>
      <c r="J21" s="985">
        <f t="shared" si="6"/>
        <v>1741045.6663982032</v>
      </c>
      <c r="K21" s="985">
        <v>0</v>
      </c>
      <c r="L21" s="985">
        <f t="shared" si="7"/>
        <v>1741045.6663982032</v>
      </c>
      <c r="M21" s="985">
        <f t="shared" si="8"/>
        <v>145087.13886651694</v>
      </c>
      <c r="N21" s="986">
        <f>'Table 5C1A-Madison Prep'!N21</f>
        <v>2544</v>
      </c>
      <c r="O21" s="987">
        <f t="shared" si="9"/>
        <v>730128</v>
      </c>
      <c r="P21" s="1030">
        <f t="shared" si="10"/>
        <v>-1825.32</v>
      </c>
      <c r="Q21" s="987">
        <f t="shared" si="11"/>
        <v>728302.68</v>
      </c>
      <c r="R21" s="987">
        <v>0</v>
      </c>
      <c r="S21" s="987">
        <f t="shared" si="12"/>
        <v>728302.68</v>
      </c>
      <c r="T21" s="987">
        <f t="shared" si="13"/>
        <v>60691.890000000007</v>
      </c>
      <c r="U21" s="988">
        <f t="shared" si="14"/>
        <v>2469348.3463982032</v>
      </c>
      <c r="V21" s="988">
        <f t="shared" si="14"/>
        <v>205779.02886651695</v>
      </c>
    </row>
    <row r="22" spans="1:22">
      <c r="A22" s="953">
        <v>16</v>
      </c>
      <c r="B22" s="954" t="s">
        <v>108</v>
      </c>
      <c r="C22" s="1080">
        <v>0</v>
      </c>
      <c r="D22" s="956">
        <f>'Table 3 Levels 1&amp;2'!AL23</f>
        <v>1530.3678845377474</v>
      </c>
      <c r="E22" s="1010">
        <f t="shared" si="2"/>
        <v>0</v>
      </c>
      <c r="F22" s="1010">
        <f>'Table 4 Level 3'!P21</f>
        <v>686.73</v>
      </c>
      <c r="G22" s="1010">
        <f t="shared" si="3"/>
        <v>0</v>
      </c>
      <c r="H22" s="957">
        <f t="shared" si="4"/>
        <v>0</v>
      </c>
      <c r="I22" s="1020">
        <f t="shared" si="5"/>
        <v>0</v>
      </c>
      <c r="J22" s="957">
        <f t="shared" si="6"/>
        <v>0</v>
      </c>
      <c r="K22" s="957">
        <v>0</v>
      </c>
      <c r="L22" s="957">
        <f t="shared" si="7"/>
        <v>0</v>
      </c>
      <c r="M22" s="957">
        <f t="shared" si="8"/>
        <v>0</v>
      </c>
      <c r="N22" s="981">
        <f>'Table 5C1A-Madison Prep'!N22</f>
        <v>12132</v>
      </c>
      <c r="O22" s="958">
        <f t="shared" si="9"/>
        <v>0</v>
      </c>
      <c r="P22" s="1028">
        <f t="shared" si="10"/>
        <v>0</v>
      </c>
      <c r="Q22" s="958">
        <f t="shared" si="11"/>
        <v>0</v>
      </c>
      <c r="R22" s="958">
        <v>0</v>
      </c>
      <c r="S22" s="958">
        <f t="shared" si="12"/>
        <v>0</v>
      </c>
      <c r="T22" s="958">
        <f t="shared" si="13"/>
        <v>0</v>
      </c>
      <c r="U22" s="959">
        <f t="shared" si="14"/>
        <v>0</v>
      </c>
      <c r="V22" s="959">
        <f t="shared" si="14"/>
        <v>0</v>
      </c>
    </row>
    <row r="23" spans="1:22">
      <c r="A23" s="960">
        <v>17</v>
      </c>
      <c r="B23" s="961" t="s">
        <v>109</v>
      </c>
      <c r="C23" s="1078">
        <v>0</v>
      </c>
      <c r="D23" s="962">
        <f>'Table 3 Levels 1&amp;2'!AL24</f>
        <v>3313.0666313017805</v>
      </c>
      <c r="E23" s="1011">
        <f t="shared" si="2"/>
        <v>0</v>
      </c>
      <c r="F23" s="1011">
        <f>'Table 4 Level 3'!P22</f>
        <v>801.47762416806802</v>
      </c>
      <c r="G23" s="1011">
        <f t="shared" si="3"/>
        <v>0</v>
      </c>
      <c r="H23" s="982">
        <f t="shared" si="4"/>
        <v>0</v>
      </c>
      <c r="I23" s="1021">
        <f t="shared" si="5"/>
        <v>0</v>
      </c>
      <c r="J23" s="982">
        <f t="shared" si="6"/>
        <v>0</v>
      </c>
      <c r="K23" s="982">
        <v>0</v>
      </c>
      <c r="L23" s="982">
        <f t="shared" si="7"/>
        <v>0</v>
      </c>
      <c r="M23" s="982">
        <f t="shared" si="8"/>
        <v>0</v>
      </c>
      <c r="N23" s="981">
        <f>'Table 5C1A-Madison Prep'!N23</f>
        <v>6764</v>
      </c>
      <c r="O23" s="983">
        <f t="shared" si="9"/>
        <v>0</v>
      </c>
      <c r="P23" s="1029">
        <f t="shared" si="10"/>
        <v>0</v>
      </c>
      <c r="Q23" s="983">
        <f t="shared" si="11"/>
        <v>0</v>
      </c>
      <c r="R23" s="983">
        <v>0</v>
      </c>
      <c r="S23" s="983">
        <f t="shared" si="12"/>
        <v>0</v>
      </c>
      <c r="T23" s="983">
        <f t="shared" si="13"/>
        <v>0</v>
      </c>
      <c r="U23" s="984">
        <f t="shared" si="14"/>
        <v>0</v>
      </c>
      <c r="V23" s="984">
        <f t="shared" si="14"/>
        <v>0</v>
      </c>
    </row>
    <row r="24" spans="1:22">
      <c r="A24" s="960">
        <v>18</v>
      </c>
      <c r="B24" s="961" t="s">
        <v>110</v>
      </c>
      <c r="C24" s="1078">
        <v>0</v>
      </c>
      <c r="D24" s="962">
        <f>'Table 3 Levels 1&amp;2'!AL25</f>
        <v>5989.1351892854573</v>
      </c>
      <c r="E24" s="1011">
        <f t="shared" si="2"/>
        <v>0</v>
      </c>
      <c r="F24" s="1011">
        <f>'Table 4 Level 3'!P23</f>
        <v>845.94999999999993</v>
      </c>
      <c r="G24" s="1011">
        <f t="shared" si="3"/>
        <v>0</v>
      </c>
      <c r="H24" s="982">
        <f t="shared" si="4"/>
        <v>0</v>
      </c>
      <c r="I24" s="1021">
        <f t="shared" si="5"/>
        <v>0</v>
      </c>
      <c r="J24" s="982">
        <f t="shared" si="6"/>
        <v>0</v>
      </c>
      <c r="K24" s="982">
        <v>0</v>
      </c>
      <c r="L24" s="982">
        <f t="shared" si="7"/>
        <v>0</v>
      </c>
      <c r="M24" s="982">
        <f t="shared" si="8"/>
        <v>0</v>
      </c>
      <c r="N24" s="981">
        <f>'Table 5C1A-Madison Prep'!N24</f>
        <v>2925</v>
      </c>
      <c r="O24" s="983">
        <f t="shared" si="9"/>
        <v>0</v>
      </c>
      <c r="P24" s="1029">
        <f t="shared" si="10"/>
        <v>0</v>
      </c>
      <c r="Q24" s="983">
        <f t="shared" si="11"/>
        <v>0</v>
      </c>
      <c r="R24" s="983">
        <v>0</v>
      </c>
      <c r="S24" s="983">
        <f t="shared" si="12"/>
        <v>0</v>
      </c>
      <c r="T24" s="983">
        <f t="shared" si="13"/>
        <v>0</v>
      </c>
      <c r="U24" s="984">
        <f t="shared" si="14"/>
        <v>0</v>
      </c>
      <c r="V24" s="984">
        <f t="shared" si="14"/>
        <v>0</v>
      </c>
    </row>
    <row r="25" spans="1:22">
      <c r="A25" s="960">
        <v>19</v>
      </c>
      <c r="B25" s="961" t="s">
        <v>111</v>
      </c>
      <c r="C25" s="1078">
        <v>0</v>
      </c>
      <c r="D25" s="962">
        <f>'Table 3 Levels 1&amp;2'!AL26</f>
        <v>5315.8913399708035</v>
      </c>
      <c r="E25" s="1011">
        <f t="shared" si="2"/>
        <v>0</v>
      </c>
      <c r="F25" s="1011">
        <f>'Table 4 Level 3'!P24</f>
        <v>905.43</v>
      </c>
      <c r="G25" s="1011">
        <f t="shared" si="3"/>
        <v>0</v>
      </c>
      <c r="H25" s="982">
        <f t="shared" si="4"/>
        <v>0</v>
      </c>
      <c r="I25" s="1021">
        <f t="shared" si="5"/>
        <v>0</v>
      </c>
      <c r="J25" s="982">
        <f t="shared" si="6"/>
        <v>0</v>
      </c>
      <c r="K25" s="982">
        <v>0</v>
      </c>
      <c r="L25" s="982">
        <f t="shared" si="7"/>
        <v>0</v>
      </c>
      <c r="M25" s="982">
        <f t="shared" si="8"/>
        <v>0</v>
      </c>
      <c r="N25" s="981">
        <f>'Table 5C1A-Madison Prep'!N25</f>
        <v>2570</v>
      </c>
      <c r="O25" s="983">
        <f t="shared" si="9"/>
        <v>0</v>
      </c>
      <c r="P25" s="1029">
        <f t="shared" si="10"/>
        <v>0</v>
      </c>
      <c r="Q25" s="983">
        <f t="shared" si="11"/>
        <v>0</v>
      </c>
      <c r="R25" s="983">
        <v>0</v>
      </c>
      <c r="S25" s="983">
        <f t="shared" si="12"/>
        <v>0</v>
      </c>
      <c r="T25" s="983">
        <f t="shared" si="13"/>
        <v>0</v>
      </c>
      <c r="U25" s="984">
        <f t="shared" si="14"/>
        <v>0</v>
      </c>
      <c r="V25" s="984">
        <f t="shared" si="14"/>
        <v>0</v>
      </c>
    </row>
    <row r="26" spans="1:22">
      <c r="A26" s="963">
        <v>20</v>
      </c>
      <c r="B26" s="964" t="s">
        <v>112</v>
      </c>
      <c r="C26" s="1079">
        <v>0</v>
      </c>
      <c r="D26" s="965">
        <f>'Table 3 Levels 1&amp;2'!AL27</f>
        <v>5420.2042919205833</v>
      </c>
      <c r="E26" s="1012">
        <f t="shared" si="2"/>
        <v>0</v>
      </c>
      <c r="F26" s="1012">
        <f>'Table 4 Level 3'!P25</f>
        <v>586.16999999999996</v>
      </c>
      <c r="G26" s="1012">
        <f t="shared" si="3"/>
        <v>0</v>
      </c>
      <c r="H26" s="985">
        <f t="shared" si="4"/>
        <v>0</v>
      </c>
      <c r="I26" s="1022">
        <f t="shared" si="5"/>
        <v>0</v>
      </c>
      <c r="J26" s="985">
        <f t="shared" si="6"/>
        <v>0</v>
      </c>
      <c r="K26" s="985">
        <v>0</v>
      </c>
      <c r="L26" s="985">
        <f t="shared" si="7"/>
        <v>0</v>
      </c>
      <c r="M26" s="985">
        <f t="shared" si="8"/>
        <v>0</v>
      </c>
      <c r="N26" s="986">
        <f>'Table 5C1A-Madison Prep'!N26</f>
        <v>2420</v>
      </c>
      <c r="O26" s="987">
        <f t="shared" si="9"/>
        <v>0</v>
      </c>
      <c r="P26" s="1030">
        <f t="shared" si="10"/>
        <v>0</v>
      </c>
      <c r="Q26" s="987">
        <f t="shared" si="11"/>
        <v>0</v>
      </c>
      <c r="R26" s="987">
        <v>0</v>
      </c>
      <c r="S26" s="987">
        <f t="shared" si="12"/>
        <v>0</v>
      </c>
      <c r="T26" s="987">
        <f t="shared" si="13"/>
        <v>0</v>
      </c>
      <c r="U26" s="988">
        <f t="shared" si="14"/>
        <v>0</v>
      </c>
      <c r="V26" s="988">
        <f t="shared" si="14"/>
        <v>0</v>
      </c>
    </row>
    <row r="27" spans="1:22">
      <c r="A27" s="953">
        <v>21</v>
      </c>
      <c r="B27" s="954" t="s">
        <v>113</v>
      </c>
      <c r="C27" s="1080">
        <v>0</v>
      </c>
      <c r="D27" s="956">
        <f>'Table 3 Levels 1&amp;2'!AL28</f>
        <v>5724.5404916279067</v>
      </c>
      <c r="E27" s="1010">
        <f t="shared" si="2"/>
        <v>0</v>
      </c>
      <c r="F27" s="1010">
        <f>'Table 4 Level 3'!P26</f>
        <v>610.35</v>
      </c>
      <c r="G27" s="1010">
        <f t="shared" si="3"/>
        <v>0</v>
      </c>
      <c r="H27" s="957">
        <f t="shared" si="4"/>
        <v>0</v>
      </c>
      <c r="I27" s="1020">
        <f t="shared" si="5"/>
        <v>0</v>
      </c>
      <c r="J27" s="957">
        <f t="shared" si="6"/>
        <v>0</v>
      </c>
      <c r="K27" s="957">
        <v>0</v>
      </c>
      <c r="L27" s="957">
        <f t="shared" si="7"/>
        <v>0</v>
      </c>
      <c r="M27" s="957">
        <f t="shared" si="8"/>
        <v>0</v>
      </c>
      <c r="N27" s="981">
        <f>'Table 5C1A-Madison Prep'!N27</f>
        <v>2265</v>
      </c>
      <c r="O27" s="958">
        <f t="shared" si="9"/>
        <v>0</v>
      </c>
      <c r="P27" s="1028">
        <f t="shared" si="10"/>
        <v>0</v>
      </c>
      <c r="Q27" s="958">
        <f t="shared" si="11"/>
        <v>0</v>
      </c>
      <c r="R27" s="958">
        <v>0</v>
      </c>
      <c r="S27" s="958">
        <f t="shared" si="12"/>
        <v>0</v>
      </c>
      <c r="T27" s="958">
        <f t="shared" si="13"/>
        <v>0</v>
      </c>
      <c r="U27" s="959">
        <f t="shared" si="14"/>
        <v>0</v>
      </c>
      <c r="V27" s="959">
        <f t="shared" si="14"/>
        <v>0</v>
      </c>
    </row>
    <row r="28" spans="1:22">
      <c r="A28" s="960">
        <v>22</v>
      </c>
      <c r="B28" s="961" t="s">
        <v>114</v>
      </c>
      <c r="C28" s="1078">
        <v>0</v>
      </c>
      <c r="D28" s="962">
        <f>'Table 3 Levels 1&amp;2'!AL29</f>
        <v>6203.2933768722742</v>
      </c>
      <c r="E28" s="1011">
        <f t="shared" si="2"/>
        <v>0</v>
      </c>
      <c r="F28" s="1011">
        <f>'Table 4 Level 3'!P27</f>
        <v>496.36</v>
      </c>
      <c r="G28" s="1011">
        <f t="shared" si="3"/>
        <v>0</v>
      </c>
      <c r="H28" s="982">
        <f t="shared" si="4"/>
        <v>0</v>
      </c>
      <c r="I28" s="1021">
        <f t="shared" si="5"/>
        <v>0</v>
      </c>
      <c r="J28" s="982">
        <f t="shared" si="6"/>
        <v>0</v>
      </c>
      <c r="K28" s="982">
        <v>0</v>
      </c>
      <c r="L28" s="982">
        <f t="shared" si="7"/>
        <v>0</v>
      </c>
      <c r="M28" s="982">
        <f t="shared" si="8"/>
        <v>0</v>
      </c>
      <c r="N28" s="981">
        <f>'Table 5C1A-Madison Prep'!N28</f>
        <v>1438</v>
      </c>
      <c r="O28" s="983">
        <f t="shared" si="9"/>
        <v>0</v>
      </c>
      <c r="P28" s="1029">
        <f t="shared" si="10"/>
        <v>0</v>
      </c>
      <c r="Q28" s="983">
        <f t="shared" si="11"/>
        <v>0</v>
      </c>
      <c r="R28" s="983">
        <v>0</v>
      </c>
      <c r="S28" s="983">
        <f t="shared" si="12"/>
        <v>0</v>
      </c>
      <c r="T28" s="983">
        <f t="shared" si="13"/>
        <v>0</v>
      </c>
      <c r="U28" s="984">
        <f t="shared" si="14"/>
        <v>0</v>
      </c>
      <c r="V28" s="984">
        <f t="shared" si="14"/>
        <v>0</v>
      </c>
    </row>
    <row r="29" spans="1:22">
      <c r="A29" s="960">
        <v>23</v>
      </c>
      <c r="B29" s="961" t="s">
        <v>115</v>
      </c>
      <c r="C29" s="1078">
        <v>0</v>
      </c>
      <c r="D29" s="962">
        <f>'Table 3 Levels 1&amp;2'!AL30</f>
        <v>4846.0802490067681</v>
      </c>
      <c r="E29" s="1011">
        <f t="shared" si="2"/>
        <v>0</v>
      </c>
      <c r="F29" s="1011">
        <f>'Table 4 Level 3'!P28</f>
        <v>688.58</v>
      </c>
      <c r="G29" s="1011">
        <f t="shared" si="3"/>
        <v>0</v>
      </c>
      <c r="H29" s="982">
        <f t="shared" si="4"/>
        <v>0</v>
      </c>
      <c r="I29" s="1021">
        <f t="shared" si="5"/>
        <v>0</v>
      </c>
      <c r="J29" s="982">
        <f t="shared" si="6"/>
        <v>0</v>
      </c>
      <c r="K29" s="982">
        <v>0</v>
      </c>
      <c r="L29" s="982">
        <f t="shared" si="7"/>
        <v>0</v>
      </c>
      <c r="M29" s="982">
        <f t="shared" si="8"/>
        <v>0</v>
      </c>
      <c r="N29" s="981">
        <f>'Table 5C1A-Madison Prep'!N29</f>
        <v>3386</v>
      </c>
      <c r="O29" s="983">
        <f t="shared" si="9"/>
        <v>0</v>
      </c>
      <c r="P29" s="1029">
        <f t="shared" si="10"/>
        <v>0</v>
      </c>
      <c r="Q29" s="983">
        <f t="shared" si="11"/>
        <v>0</v>
      </c>
      <c r="R29" s="983">
        <v>0</v>
      </c>
      <c r="S29" s="983">
        <f t="shared" si="12"/>
        <v>0</v>
      </c>
      <c r="T29" s="983">
        <f t="shared" si="13"/>
        <v>0</v>
      </c>
      <c r="U29" s="984">
        <f t="shared" si="14"/>
        <v>0</v>
      </c>
      <c r="V29" s="984">
        <f t="shared" si="14"/>
        <v>0</v>
      </c>
    </row>
    <row r="30" spans="1:22">
      <c r="A30" s="960">
        <v>24</v>
      </c>
      <c r="B30" s="961" t="s">
        <v>116</v>
      </c>
      <c r="C30" s="1078">
        <v>0</v>
      </c>
      <c r="D30" s="962">
        <f>'Table 3 Levels 1&amp;2'!AL31</f>
        <v>2764.1216755319151</v>
      </c>
      <c r="E30" s="1011">
        <f t="shared" si="2"/>
        <v>0</v>
      </c>
      <c r="F30" s="1011">
        <f>'Table 4 Level 3'!P29</f>
        <v>854.24999999999989</v>
      </c>
      <c r="G30" s="1011">
        <f t="shared" si="3"/>
        <v>0</v>
      </c>
      <c r="H30" s="982">
        <f t="shared" si="4"/>
        <v>0</v>
      </c>
      <c r="I30" s="1021">
        <f t="shared" si="5"/>
        <v>0</v>
      </c>
      <c r="J30" s="982">
        <f t="shared" si="6"/>
        <v>0</v>
      </c>
      <c r="K30" s="982">
        <v>0</v>
      </c>
      <c r="L30" s="982">
        <f t="shared" si="7"/>
        <v>0</v>
      </c>
      <c r="M30" s="982">
        <f t="shared" si="8"/>
        <v>0</v>
      </c>
      <c r="N30" s="981">
        <f>'Table 5C1A-Madison Prep'!N30</f>
        <v>9761</v>
      </c>
      <c r="O30" s="983">
        <f t="shared" si="9"/>
        <v>0</v>
      </c>
      <c r="P30" s="1029">
        <f t="shared" si="10"/>
        <v>0</v>
      </c>
      <c r="Q30" s="983">
        <f t="shared" si="11"/>
        <v>0</v>
      </c>
      <c r="R30" s="983">
        <v>0</v>
      </c>
      <c r="S30" s="983">
        <f t="shared" si="12"/>
        <v>0</v>
      </c>
      <c r="T30" s="983">
        <f t="shared" si="13"/>
        <v>0</v>
      </c>
      <c r="U30" s="984">
        <f t="shared" si="14"/>
        <v>0</v>
      </c>
      <c r="V30" s="984">
        <f t="shared" si="14"/>
        <v>0</v>
      </c>
    </row>
    <row r="31" spans="1:22">
      <c r="A31" s="963">
        <v>25</v>
      </c>
      <c r="B31" s="964" t="s">
        <v>117</v>
      </c>
      <c r="C31" s="1079">
        <v>0</v>
      </c>
      <c r="D31" s="965">
        <f>'Table 3 Levels 1&amp;2'!AL32</f>
        <v>3867.4480692053257</v>
      </c>
      <c r="E31" s="1012">
        <f t="shared" si="2"/>
        <v>0</v>
      </c>
      <c r="F31" s="1012">
        <f>'Table 4 Level 3'!P30</f>
        <v>653.73</v>
      </c>
      <c r="G31" s="1012">
        <f t="shared" si="3"/>
        <v>0</v>
      </c>
      <c r="H31" s="985">
        <f t="shared" si="4"/>
        <v>0</v>
      </c>
      <c r="I31" s="1022">
        <f t="shared" si="5"/>
        <v>0</v>
      </c>
      <c r="J31" s="985">
        <f t="shared" si="6"/>
        <v>0</v>
      </c>
      <c r="K31" s="985">
        <v>0</v>
      </c>
      <c r="L31" s="985">
        <f t="shared" si="7"/>
        <v>0</v>
      </c>
      <c r="M31" s="985">
        <f t="shared" si="8"/>
        <v>0</v>
      </c>
      <c r="N31" s="986">
        <f>'Table 5C1A-Madison Prep'!N31</f>
        <v>4842</v>
      </c>
      <c r="O31" s="987">
        <f t="shared" si="9"/>
        <v>0</v>
      </c>
      <c r="P31" s="1030">
        <f t="shared" si="10"/>
        <v>0</v>
      </c>
      <c r="Q31" s="987">
        <f t="shared" si="11"/>
        <v>0</v>
      </c>
      <c r="R31" s="987">
        <v>0</v>
      </c>
      <c r="S31" s="987">
        <f t="shared" si="12"/>
        <v>0</v>
      </c>
      <c r="T31" s="987">
        <f t="shared" si="13"/>
        <v>0</v>
      </c>
      <c r="U31" s="988">
        <f t="shared" si="14"/>
        <v>0</v>
      </c>
      <c r="V31" s="988">
        <f t="shared" si="14"/>
        <v>0</v>
      </c>
    </row>
    <row r="32" spans="1:22">
      <c r="A32" s="953">
        <v>26</v>
      </c>
      <c r="B32" s="954" t="s">
        <v>118</v>
      </c>
      <c r="C32" s="1080">
        <v>0</v>
      </c>
      <c r="D32" s="956">
        <f>'Table 3 Levels 1&amp;2'!AL33</f>
        <v>3293.481526790355</v>
      </c>
      <c r="E32" s="1010">
        <f t="shared" si="2"/>
        <v>0</v>
      </c>
      <c r="F32" s="1010">
        <f>'Table 4 Level 3'!P31</f>
        <v>836.83</v>
      </c>
      <c r="G32" s="1010">
        <f t="shared" si="3"/>
        <v>0</v>
      </c>
      <c r="H32" s="957">
        <f t="shared" si="4"/>
        <v>0</v>
      </c>
      <c r="I32" s="1020">
        <f t="shared" si="5"/>
        <v>0</v>
      </c>
      <c r="J32" s="957">
        <f t="shared" si="6"/>
        <v>0</v>
      </c>
      <c r="K32" s="957">
        <v>0</v>
      </c>
      <c r="L32" s="957">
        <f t="shared" si="7"/>
        <v>0</v>
      </c>
      <c r="M32" s="957">
        <f t="shared" si="8"/>
        <v>0</v>
      </c>
      <c r="N32" s="981">
        <f>'Table 5C1A-Madison Prep'!N32</f>
        <v>5301</v>
      </c>
      <c r="O32" s="958">
        <f t="shared" si="9"/>
        <v>0</v>
      </c>
      <c r="P32" s="1028">
        <f t="shared" si="10"/>
        <v>0</v>
      </c>
      <c r="Q32" s="958">
        <f t="shared" si="11"/>
        <v>0</v>
      </c>
      <c r="R32" s="958">
        <v>0</v>
      </c>
      <c r="S32" s="958">
        <f t="shared" si="12"/>
        <v>0</v>
      </c>
      <c r="T32" s="958">
        <f t="shared" si="13"/>
        <v>0</v>
      </c>
      <c r="U32" s="959">
        <f t="shared" si="14"/>
        <v>0</v>
      </c>
      <c r="V32" s="959">
        <f t="shared" si="14"/>
        <v>0</v>
      </c>
    </row>
    <row r="33" spans="1:22">
      <c r="A33" s="960">
        <v>27</v>
      </c>
      <c r="B33" s="961" t="s">
        <v>119</v>
      </c>
      <c r="C33" s="1081">
        <v>0</v>
      </c>
      <c r="D33" s="966">
        <f>'Table 3 Levels 1&amp;2'!AL34</f>
        <v>5680.7727517381973</v>
      </c>
      <c r="E33" s="1013">
        <f t="shared" si="2"/>
        <v>0</v>
      </c>
      <c r="F33" s="1013">
        <f>'Table 4 Level 3'!P32</f>
        <v>693.06</v>
      </c>
      <c r="G33" s="1013">
        <f t="shared" si="3"/>
        <v>0</v>
      </c>
      <c r="H33" s="989">
        <f t="shared" si="4"/>
        <v>0</v>
      </c>
      <c r="I33" s="1023">
        <f t="shared" si="5"/>
        <v>0</v>
      </c>
      <c r="J33" s="989">
        <f t="shared" si="6"/>
        <v>0</v>
      </c>
      <c r="K33" s="989">
        <v>0</v>
      </c>
      <c r="L33" s="989">
        <f t="shared" si="7"/>
        <v>0</v>
      </c>
      <c r="M33" s="989">
        <f t="shared" si="8"/>
        <v>0</v>
      </c>
      <c r="N33" s="981">
        <f>'Table 5C1A-Madison Prep'!N33</f>
        <v>3252</v>
      </c>
      <c r="O33" s="983">
        <f t="shared" si="9"/>
        <v>0</v>
      </c>
      <c r="P33" s="1029">
        <f t="shared" si="10"/>
        <v>0</v>
      </c>
      <c r="Q33" s="983">
        <f t="shared" si="11"/>
        <v>0</v>
      </c>
      <c r="R33" s="983">
        <v>0</v>
      </c>
      <c r="S33" s="983">
        <f t="shared" si="12"/>
        <v>0</v>
      </c>
      <c r="T33" s="983">
        <f t="shared" si="13"/>
        <v>0</v>
      </c>
      <c r="U33" s="984">
        <f t="shared" si="14"/>
        <v>0</v>
      </c>
      <c r="V33" s="984">
        <f t="shared" si="14"/>
        <v>0</v>
      </c>
    </row>
    <row r="34" spans="1:22">
      <c r="A34" s="960">
        <v>28</v>
      </c>
      <c r="B34" s="961" t="s">
        <v>120</v>
      </c>
      <c r="C34" s="1081">
        <v>0</v>
      </c>
      <c r="D34" s="966">
        <f>'Table 3 Levels 1&amp;2'!AL35</f>
        <v>3163.1694438483169</v>
      </c>
      <c r="E34" s="1013">
        <f t="shared" si="2"/>
        <v>0</v>
      </c>
      <c r="F34" s="1013">
        <f>'Table 4 Level 3'!P33</f>
        <v>694.4</v>
      </c>
      <c r="G34" s="1013">
        <f t="shared" si="3"/>
        <v>0</v>
      </c>
      <c r="H34" s="989">
        <f t="shared" si="4"/>
        <v>0</v>
      </c>
      <c r="I34" s="1023">
        <f t="shared" si="5"/>
        <v>0</v>
      </c>
      <c r="J34" s="989">
        <f t="shared" si="6"/>
        <v>0</v>
      </c>
      <c r="K34" s="989">
        <v>0</v>
      </c>
      <c r="L34" s="989">
        <f t="shared" si="7"/>
        <v>0</v>
      </c>
      <c r="M34" s="989">
        <f t="shared" si="8"/>
        <v>0</v>
      </c>
      <c r="N34" s="981">
        <f>'Table 5C1A-Madison Prep'!N34</f>
        <v>5361</v>
      </c>
      <c r="O34" s="983">
        <f t="shared" si="9"/>
        <v>0</v>
      </c>
      <c r="P34" s="1029">
        <f t="shared" si="10"/>
        <v>0</v>
      </c>
      <c r="Q34" s="983">
        <f t="shared" si="11"/>
        <v>0</v>
      </c>
      <c r="R34" s="983">
        <v>0</v>
      </c>
      <c r="S34" s="983">
        <f t="shared" si="12"/>
        <v>0</v>
      </c>
      <c r="T34" s="983">
        <f t="shared" si="13"/>
        <v>0</v>
      </c>
      <c r="U34" s="984">
        <f t="shared" si="14"/>
        <v>0</v>
      </c>
      <c r="V34" s="984">
        <f t="shared" si="14"/>
        <v>0</v>
      </c>
    </row>
    <row r="35" spans="1:22">
      <c r="A35" s="960">
        <v>29</v>
      </c>
      <c r="B35" s="961" t="s">
        <v>121</v>
      </c>
      <c r="C35" s="1081">
        <v>0</v>
      </c>
      <c r="D35" s="966">
        <f>'Table 3 Levels 1&amp;2'!AL36</f>
        <v>3952.5586133052648</v>
      </c>
      <c r="E35" s="1013">
        <f t="shared" si="2"/>
        <v>0</v>
      </c>
      <c r="F35" s="1013">
        <f>'Table 4 Level 3'!P34</f>
        <v>754.94999999999993</v>
      </c>
      <c r="G35" s="1013">
        <f t="shared" si="3"/>
        <v>0</v>
      </c>
      <c r="H35" s="989">
        <f t="shared" si="4"/>
        <v>0</v>
      </c>
      <c r="I35" s="1023">
        <f t="shared" si="5"/>
        <v>0</v>
      </c>
      <c r="J35" s="989">
        <f t="shared" si="6"/>
        <v>0</v>
      </c>
      <c r="K35" s="989">
        <v>0</v>
      </c>
      <c r="L35" s="989">
        <f t="shared" si="7"/>
        <v>0</v>
      </c>
      <c r="M35" s="989">
        <f t="shared" si="8"/>
        <v>0</v>
      </c>
      <c r="N35" s="981">
        <f>'Table 5C1A-Madison Prep'!N35</f>
        <v>4763</v>
      </c>
      <c r="O35" s="983">
        <f t="shared" si="9"/>
        <v>0</v>
      </c>
      <c r="P35" s="1029">
        <f t="shared" si="10"/>
        <v>0</v>
      </c>
      <c r="Q35" s="983">
        <f t="shared" si="11"/>
        <v>0</v>
      </c>
      <c r="R35" s="983">
        <v>0</v>
      </c>
      <c r="S35" s="983">
        <f t="shared" si="12"/>
        <v>0</v>
      </c>
      <c r="T35" s="983">
        <f t="shared" si="13"/>
        <v>0</v>
      </c>
      <c r="U35" s="984">
        <f t="shared" si="14"/>
        <v>0</v>
      </c>
      <c r="V35" s="984">
        <f t="shared" si="14"/>
        <v>0</v>
      </c>
    </row>
    <row r="36" spans="1:22">
      <c r="A36" s="963">
        <v>30</v>
      </c>
      <c r="B36" s="964" t="s">
        <v>122</v>
      </c>
      <c r="C36" s="1082">
        <v>0</v>
      </c>
      <c r="D36" s="967">
        <f>'Table 3 Levels 1&amp;2'!AL37</f>
        <v>5648.6510465852989</v>
      </c>
      <c r="E36" s="1014">
        <f t="shared" si="2"/>
        <v>0</v>
      </c>
      <c r="F36" s="1014">
        <f>'Table 4 Level 3'!P35</f>
        <v>727.17</v>
      </c>
      <c r="G36" s="1014">
        <f t="shared" si="3"/>
        <v>0</v>
      </c>
      <c r="H36" s="990">
        <f t="shared" si="4"/>
        <v>0</v>
      </c>
      <c r="I36" s="1024">
        <f t="shared" si="5"/>
        <v>0</v>
      </c>
      <c r="J36" s="990">
        <f t="shared" si="6"/>
        <v>0</v>
      </c>
      <c r="K36" s="990">
        <v>0</v>
      </c>
      <c r="L36" s="990">
        <f t="shared" si="7"/>
        <v>0</v>
      </c>
      <c r="M36" s="990">
        <f t="shared" si="8"/>
        <v>0</v>
      </c>
      <c r="N36" s="986">
        <f>'Table 5C1A-Madison Prep'!N36</f>
        <v>3236</v>
      </c>
      <c r="O36" s="987">
        <f t="shared" si="9"/>
        <v>0</v>
      </c>
      <c r="P36" s="1030">
        <f t="shared" si="10"/>
        <v>0</v>
      </c>
      <c r="Q36" s="987">
        <f t="shared" si="11"/>
        <v>0</v>
      </c>
      <c r="R36" s="987">
        <v>0</v>
      </c>
      <c r="S36" s="987">
        <f t="shared" si="12"/>
        <v>0</v>
      </c>
      <c r="T36" s="987">
        <f t="shared" si="13"/>
        <v>0</v>
      </c>
      <c r="U36" s="988">
        <f t="shared" si="14"/>
        <v>0</v>
      </c>
      <c r="V36" s="988">
        <f t="shared" si="14"/>
        <v>0</v>
      </c>
    </row>
    <row r="37" spans="1:22">
      <c r="A37" s="953">
        <v>31</v>
      </c>
      <c r="B37" s="954" t="s">
        <v>123</v>
      </c>
      <c r="C37" s="1083">
        <v>0</v>
      </c>
      <c r="D37" s="968">
        <f>'Table 3 Levels 1&amp;2'!AL38</f>
        <v>4348.9307899232972</v>
      </c>
      <c r="E37" s="1015">
        <f t="shared" si="2"/>
        <v>0</v>
      </c>
      <c r="F37" s="1015">
        <f>'Table 4 Level 3'!P36</f>
        <v>620.83000000000004</v>
      </c>
      <c r="G37" s="1015">
        <f t="shared" si="3"/>
        <v>0</v>
      </c>
      <c r="H37" s="991">
        <f t="shared" si="4"/>
        <v>0</v>
      </c>
      <c r="I37" s="1025">
        <f t="shared" si="5"/>
        <v>0</v>
      </c>
      <c r="J37" s="991">
        <f t="shared" si="6"/>
        <v>0</v>
      </c>
      <c r="K37" s="991">
        <v>0</v>
      </c>
      <c r="L37" s="991">
        <f t="shared" si="7"/>
        <v>0</v>
      </c>
      <c r="M37" s="991">
        <f t="shared" si="8"/>
        <v>0</v>
      </c>
      <c r="N37" s="981">
        <f>'Table 5C1A-Madison Prep'!N37</f>
        <v>4795</v>
      </c>
      <c r="O37" s="958">
        <f t="shared" si="9"/>
        <v>0</v>
      </c>
      <c r="P37" s="1028">
        <f t="shared" si="10"/>
        <v>0</v>
      </c>
      <c r="Q37" s="958">
        <f t="shared" si="11"/>
        <v>0</v>
      </c>
      <c r="R37" s="958">
        <v>0</v>
      </c>
      <c r="S37" s="958">
        <f t="shared" si="12"/>
        <v>0</v>
      </c>
      <c r="T37" s="958">
        <f t="shared" si="13"/>
        <v>0</v>
      </c>
      <c r="U37" s="959">
        <f t="shared" si="14"/>
        <v>0</v>
      </c>
      <c r="V37" s="959">
        <f t="shared" si="14"/>
        <v>0</v>
      </c>
    </row>
    <row r="38" spans="1:22">
      <c r="A38" s="960">
        <v>32</v>
      </c>
      <c r="B38" s="961" t="s">
        <v>124</v>
      </c>
      <c r="C38" s="1081">
        <v>0</v>
      </c>
      <c r="D38" s="966">
        <f>'Table 3 Levels 1&amp;2'!AL39</f>
        <v>5531.5157655456787</v>
      </c>
      <c r="E38" s="1013">
        <f t="shared" si="2"/>
        <v>0</v>
      </c>
      <c r="F38" s="1013">
        <f>'Table 4 Level 3'!P37</f>
        <v>559.77</v>
      </c>
      <c r="G38" s="1013">
        <f t="shared" si="3"/>
        <v>0</v>
      </c>
      <c r="H38" s="989">
        <f t="shared" si="4"/>
        <v>0</v>
      </c>
      <c r="I38" s="1023">
        <f t="shared" si="5"/>
        <v>0</v>
      </c>
      <c r="J38" s="989">
        <f t="shared" si="6"/>
        <v>0</v>
      </c>
      <c r="K38" s="989">
        <v>0</v>
      </c>
      <c r="L38" s="989">
        <f t="shared" si="7"/>
        <v>0</v>
      </c>
      <c r="M38" s="989">
        <f t="shared" si="8"/>
        <v>0</v>
      </c>
      <c r="N38" s="981">
        <f>'Table 5C1A-Madison Prep'!N38</f>
        <v>2109</v>
      </c>
      <c r="O38" s="983">
        <f t="shared" si="9"/>
        <v>0</v>
      </c>
      <c r="P38" s="1029">
        <f t="shared" si="10"/>
        <v>0</v>
      </c>
      <c r="Q38" s="983">
        <f t="shared" si="11"/>
        <v>0</v>
      </c>
      <c r="R38" s="983">
        <v>0</v>
      </c>
      <c r="S38" s="983">
        <f t="shared" si="12"/>
        <v>0</v>
      </c>
      <c r="T38" s="983">
        <f t="shared" si="13"/>
        <v>0</v>
      </c>
      <c r="U38" s="984">
        <f t="shared" si="14"/>
        <v>0</v>
      </c>
      <c r="V38" s="984">
        <f t="shared" si="14"/>
        <v>0</v>
      </c>
    </row>
    <row r="39" spans="1:22">
      <c r="A39" s="960">
        <v>33</v>
      </c>
      <c r="B39" s="961" t="s">
        <v>125</v>
      </c>
      <c r="C39" s="1081">
        <v>0</v>
      </c>
      <c r="D39" s="966">
        <f>'Table 3 Levels 1&amp;2'!AL40</f>
        <v>5329.5444226517857</v>
      </c>
      <c r="E39" s="1013">
        <f t="shared" si="2"/>
        <v>0</v>
      </c>
      <c r="F39" s="1013">
        <f>'Table 4 Level 3'!P38</f>
        <v>655.31000000000006</v>
      </c>
      <c r="G39" s="1013">
        <f t="shared" si="3"/>
        <v>0</v>
      </c>
      <c r="H39" s="989">
        <f t="shared" si="4"/>
        <v>0</v>
      </c>
      <c r="I39" s="1023">
        <f t="shared" si="5"/>
        <v>0</v>
      </c>
      <c r="J39" s="989">
        <f t="shared" si="6"/>
        <v>0</v>
      </c>
      <c r="K39" s="989">
        <v>0</v>
      </c>
      <c r="L39" s="989">
        <f t="shared" si="7"/>
        <v>0</v>
      </c>
      <c r="M39" s="989">
        <f t="shared" si="8"/>
        <v>0</v>
      </c>
      <c r="N39" s="981">
        <f>'Table 5C1A-Madison Prep'!N39</f>
        <v>2649</v>
      </c>
      <c r="O39" s="983">
        <f t="shared" si="9"/>
        <v>0</v>
      </c>
      <c r="P39" s="1029">
        <f t="shared" si="10"/>
        <v>0</v>
      </c>
      <c r="Q39" s="983">
        <f t="shared" si="11"/>
        <v>0</v>
      </c>
      <c r="R39" s="983">
        <v>0</v>
      </c>
      <c r="S39" s="983">
        <f t="shared" si="12"/>
        <v>0</v>
      </c>
      <c r="T39" s="983">
        <f t="shared" si="13"/>
        <v>0</v>
      </c>
      <c r="U39" s="984">
        <f t="shared" si="14"/>
        <v>0</v>
      </c>
      <c r="V39" s="984">
        <f t="shared" si="14"/>
        <v>0</v>
      </c>
    </row>
    <row r="40" spans="1:22">
      <c r="A40" s="960">
        <v>34</v>
      </c>
      <c r="B40" s="961" t="s">
        <v>126</v>
      </c>
      <c r="C40" s="1081">
        <v>0</v>
      </c>
      <c r="D40" s="966">
        <f>'Table 3 Levels 1&amp;2'!AL41</f>
        <v>6003.632932007491</v>
      </c>
      <c r="E40" s="1013">
        <f t="shared" si="2"/>
        <v>0</v>
      </c>
      <c r="F40" s="1013">
        <f>'Table 4 Level 3'!P39</f>
        <v>644.11000000000013</v>
      </c>
      <c r="G40" s="1013">
        <f t="shared" si="3"/>
        <v>0</v>
      </c>
      <c r="H40" s="989">
        <f t="shared" si="4"/>
        <v>0</v>
      </c>
      <c r="I40" s="1023">
        <f t="shared" si="5"/>
        <v>0</v>
      </c>
      <c r="J40" s="989">
        <f t="shared" si="6"/>
        <v>0</v>
      </c>
      <c r="K40" s="989">
        <v>0</v>
      </c>
      <c r="L40" s="989">
        <f t="shared" si="7"/>
        <v>0</v>
      </c>
      <c r="M40" s="989">
        <f t="shared" si="8"/>
        <v>0</v>
      </c>
      <c r="N40" s="981">
        <f>'Table 5C1A-Madison Prep'!N40</f>
        <v>2817</v>
      </c>
      <c r="O40" s="983">
        <f t="shared" si="9"/>
        <v>0</v>
      </c>
      <c r="P40" s="1029">
        <f t="shared" si="10"/>
        <v>0</v>
      </c>
      <c r="Q40" s="983">
        <f t="shared" si="11"/>
        <v>0</v>
      </c>
      <c r="R40" s="983">
        <v>0</v>
      </c>
      <c r="S40" s="983">
        <f t="shared" si="12"/>
        <v>0</v>
      </c>
      <c r="T40" s="983">
        <f t="shared" si="13"/>
        <v>0</v>
      </c>
      <c r="U40" s="984">
        <f t="shared" si="14"/>
        <v>0</v>
      </c>
      <c r="V40" s="984">
        <f t="shared" si="14"/>
        <v>0</v>
      </c>
    </row>
    <row r="41" spans="1:22">
      <c r="A41" s="963">
        <v>35</v>
      </c>
      <c r="B41" s="964" t="s">
        <v>127</v>
      </c>
      <c r="C41" s="1082">
        <v>0</v>
      </c>
      <c r="D41" s="967">
        <f>'Table 3 Levels 1&amp;2'!AL42</f>
        <v>4607.1606416222867</v>
      </c>
      <c r="E41" s="1014">
        <f t="shared" si="2"/>
        <v>0</v>
      </c>
      <c r="F41" s="1014">
        <f>'Table 4 Level 3'!P40</f>
        <v>537.96</v>
      </c>
      <c r="G41" s="1014">
        <f t="shared" si="3"/>
        <v>0</v>
      </c>
      <c r="H41" s="990">
        <f t="shared" si="4"/>
        <v>0</v>
      </c>
      <c r="I41" s="1024">
        <f t="shared" si="5"/>
        <v>0</v>
      </c>
      <c r="J41" s="990">
        <f t="shared" si="6"/>
        <v>0</v>
      </c>
      <c r="K41" s="990">
        <v>0</v>
      </c>
      <c r="L41" s="990">
        <f t="shared" si="7"/>
        <v>0</v>
      </c>
      <c r="M41" s="990">
        <f t="shared" si="8"/>
        <v>0</v>
      </c>
      <c r="N41" s="986">
        <f>'Table 5C1A-Madison Prep'!N41</f>
        <v>3298</v>
      </c>
      <c r="O41" s="987">
        <f t="shared" si="9"/>
        <v>0</v>
      </c>
      <c r="P41" s="1030">
        <f t="shared" si="10"/>
        <v>0</v>
      </c>
      <c r="Q41" s="987">
        <f t="shared" si="11"/>
        <v>0</v>
      </c>
      <c r="R41" s="987">
        <v>0</v>
      </c>
      <c r="S41" s="987">
        <f t="shared" si="12"/>
        <v>0</v>
      </c>
      <c r="T41" s="987">
        <f t="shared" si="13"/>
        <v>0</v>
      </c>
      <c r="U41" s="988">
        <f t="shared" si="14"/>
        <v>0</v>
      </c>
      <c r="V41" s="988">
        <f t="shared" si="14"/>
        <v>0</v>
      </c>
    </row>
    <row r="42" spans="1:22">
      <c r="A42" s="953">
        <v>36</v>
      </c>
      <c r="B42" s="954" t="s">
        <v>128</v>
      </c>
      <c r="C42" s="1083">
        <v>0</v>
      </c>
      <c r="D42" s="968">
        <f>'Table 3 Levels 1&amp;2'!AL43</f>
        <v>3520.4894337711748</v>
      </c>
      <c r="E42" s="1015">
        <f t="shared" si="2"/>
        <v>0</v>
      </c>
      <c r="F42" s="1015">
        <v>746.0335616438357</v>
      </c>
      <c r="G42" s="1015">
        <f t="shared" si="3"/>
        <v>0</v>
      </c>
      <c r="H42" s="991">
        <f t="shared" si="4"/>
        <v>0</v>
      </c>
      <c r="I42" s="1025">
        <f t="shared" si="5"/>
        <v>0</v>
      </c>
      <c r="J42" s="991">
        <f t="shared" si="6"/>
        <v>0</v>
      </c>
      <c r="K42" s="991">
        <v>0</v>
      </c>
      <c r="L42" s="991">
        <f t="shared" si="7"/>
        <v>0</v>
      </c>
      <c r="M42" s="991">
        <f t="shared" si="8"/>
        <v>0</v>
      </c>
      <c r="N42" s="981">
        <f>'Table 5C1A-Madison Prep'!N42</f>
        <v>5442</v>
      </c>
      <c r="O42" s="958">
        <f t="shared" si="9"/>
        <v>0</v>
      </c>
      <c r="P42" s="1028">
        <f t="shared" si="10"/>
        <v>0</v>
      </c>
      <c r="Q42" s="958">
        <f t="shared" si="11"/>
        <v>0</v>
      </c>
      <c r="R42" s="958">
        <v>0</v>
      </c>
      <c r="S42" s="958">
        <f t="shared" si="12"/>
        <v>0</v>
      </c>
      <c r="T42" s="958">
        <f t="shared" si="13"/>
        <v>0</v>
      </c>
      <c r="U42" s="959">
        <f t="shared" si="14"/>
        <v>0</v>
      </c>
      <c r="V42" s="959">
        <f t="shared" si="14"/>
        <v>0</v>
      </c>
    </row>
    <row r="43" spans="1:22">
      <c r="A43" s="960">
        <v>37</v>
      </c>
      <c r="B43" s="961" t="s">
        <v>129</v>
      </c>
      <c r="C43" s="1081">
        <v>0</v>
      </c>
      <c r="D43" s="966">
        <f>'Table 3 Levels 1&amp;2'!AL44</f>
        <v>5503.7595641818853</v>
      </c>
      <c r="E43" s="1013">
        <f t="shared" si="2"/>
        <v>0</v>
      </c>
      <c r="F43" s="1013">
        <f>'Table 4 Level 3'!P42</f>
        <v>653.61</v>
      </c>
      <c r="G43" s="1013">
        <f t="shared" si="3"/>
        <v>0</v>
      </c>
      <c r="H43" s="989">
        <f t="shared" si="4"/>
        <v>0</v>
      </c>
      <c r="I43" s="1023">
        <f t="shared" si="5"/>
        <v>0</v>
      </c>
      <c r="J43" s="989">
        <f t="shared" si="6"/>
        <v>0</v>
      </c>
      <c r="K43" s="989">
        <v>0</v>
      </c>
      <c r="L43" s="989">
        <f t="shared" si="7"/>
        <v>0</v>
      </c>
      <c r="M43" s="989">
        <f t="shared" si="8"/>
        <v>0</v>
      </c>
      <c r="N43" s="981">
        <f>'Table 5C1A-Madison Prep'!N43</f>
        <v>3227</v>
      </c>
      <c r="O43" s="983">
        <f t="shared" si="9"/>
        <v>0</v>
      </c>
      <c r="P43" s="1029">
        <f t="shared" si="10"/>
        <v>0</v>
      </c>
      <c r="Q43" s="983">
        <f t="shared" si="11"/>
        <v>0</v>
      </c>
      <c r="R43" s="983">
        <v>0</v>
      </c>
      <c r="S43" s="983">
        <f t="shared" si="12"/>
        <v>0</v>
      </c>
      <c r="T43" s="983">
        <f t="shared" si="13"/>
        <v>0</v>
      </c>
      <c r="U43" s="984">
        <f t="shared" si="14"/>
        <v>0</v>
      </c>
      <c r="V43" s="984">
        <f t="shared" si="14"/>
        <v>0</v>
      </c>
    </row>
    <row r="44" spans="1:22">
      <c r="A44" s="960">
        <v>38</v>
      </c>
      <c r="B44" s="961" t="s">
        <v>130</v>
      </c>
      <c r="C44" s="1081">
        <v>0</v>
      </c>
      <c r="D44" s="966">
        <f>'Table 3 Levels 1&amp;2'!AL45</f>
        <v>2192.7545275590551</v>
      </c>
      <c r="E44" s="1013">
        <f t="shared" si="2"/>
        <v>0</v>
      </c>
      <c r="F44" s="1013">
        <f>'Table 4 Level 3'!P43</f>
        <v>829.92000000000007</v>
      </c>
      <c r="G44" s="1013">
        <f t="shared" si="3"/>
        <v>0</v>
      </c>
      <c r="H44" s="989">
        <f t="shared" si="4"/>
        <v>0</v>
      </c>
      <c r="I44" s="1023">
        <f t="shared" si="5"/>
        <v>0</v>
      </c>
      <c r="J44" s="989">
        <f t="shared" si="6"/>
        <v>0</v>
      </c>
      <c r="K44" s="989">
        <v>0</v>
      </c>
      <c r="L44" s="989">
        <f t="shared" si="7"/>
        <v>0</v>
      </c>
      <c r="M44" s="989">
        <f t="shared" si="8"/>
        <v>0</v>
      </c>
      <c r="N44" s="981">
        <f>'Table 5C1A-Madison Prep'!N44</f>
        <v>10867</v>
      </c>
      <c r="O44" s="983">
        <f t="shared" si="9"/>
        <v>0</v>
      </c>
      <c r="P44" s="1029">
        <f t="shared" si="10"/>
        <v>0</v>
      </c>
      <c r="Q44" s="983">
        <f t="shared" si="11"/>
        <v>0</v>
      </c>
      <c r="R44" s="983">
        <v>0</v>
      </c>
      <c r="S44" s="983">
        <f t="shared" si="12"/>
        <v>0</v>
      </c>
      <c r="T44" s="983">
        <f t="shared" si="13"/>
        <v>0</v>
      </c>
      <c r="U44" s="984">
        <f t="shared" si="14"/>
        <v>0</v>
      </c>
      <c r="V44" s="984">
        <f t="shared" si="14"/>
        <v>0</v>
      </c>
    </row>
    <row r="45" spans="1:22">
      <c r="A45" s="960">
        <v>39</v>
      </c>
      <c r="B45" s="961" t="s">
        <v>131</v>
      </c>
      <c r="C45" s="1081">
        <v>0</v>
      </c>
      <c r="D45" s="966">
        <f>'Table 3 Levels 1&amp;2'!AL46</f>
        <v>3639.9942778062696</v>
      </c>
      <c r="E45" s="1013">
        <f t="shared" si="2"/>
        <v>0</v>
      </c>
      <c r="F45" s="1013">
        <f>'Table 4 Level 3'!P44</f>
        <v>779.65573042776441</v>
      </c>
      <c r="G45" s="1013">
        <f t="shared" si="3"/>
        <v>0</v>
      </c>
      <c r="H45" s="989">
        <f t="shared" si="4"/>
        <v>0</v>
      </c>
      <c r="I45" s="1023">
        <f t="shared" si="5"/>
        <v>0</v>
      </c>
      <c r="J45" s="989">
        <f t="shared" si="6"/>
        <v>0</v>
      </c>
      <c r="K45" s="989">
        <v>0</v>
      </c>
      <c r="L45" s="989">
        <f t="shared" si="7"/>
        <v>0</v>
      </c>
      <c r="M45" s="989">
        <f t="shared" si="8"/>
        <v>0</v>
      </c>
      <c r="N45" s="981">
        <f>'Table 5C1A-Madison Prep'!N45</f>
        <v>4324</v>
      </c>
      <c r="O45" s="983">
        <f t="shared" si="9"/>
        <v>0</v>
      </c>
      <c r="P45" s="1029">
        <f t="shared" si="10"/>
        <v>0</v>
      </c>
      <c r="Q45" s="983">
        <f t="shared" si="11"/>
        <v>0</v>
      </c>
      <c r="R45" s="983">
        <v>0</v>
      </c>
      <c r="S45" s="983">
        <f t="shared" si="12"/>
        <v>0</v>
      </c>
      <c r="T45" s="983">
        <f t="shared" si="13"/>
        <v>0</v>
      </c>
      <c r="U45" s="984">
        <f t="shared" si="14"/>
        <v>0</v>
      </c>
      <c r="V45" s="984">
        <f t="shared" si="14"/>
        <v>0</v>
      </c>
    </row>
    <row r="46" spans="1:22">
      <c r="A46" s="963">
        <v>40</v>
      </c>
      <c r="B46" s="964" t="s">
        <v>132</v>
      </c>
      <c r="C46" s="1082">
        <v>0</v>
      </c>
      <c r="D46" s="967">
        <f>'Table 3 Levels 1&amp;2'!AL47</f>
        <v>4928.4974462701202</v>
      </c>
      <c r="E46" s="1014">
        <f t="shared" si="2"/>
        <v>0</v>
      </c>
      <c r="F46" s="1014">
        <f>'Table 4 Level 3'!P45</f>
        <v>700.2700000000001</v>
      </c>
      <c r="G46" s="1014">
        <f t="shared" si="3"/>
        <v>0</v>
      </c>
      <c r="H46" s="990">
        <f t="shared" si="4"/>
        <v>0</v>
      </c>
      <c r="I46" s="1024">
        <f t="shared" si="5"/>
        <v>0</v>
      </c>
      <c r="J46" s="990">
        <f t="shared" si="6"/>
        <v>0</v>
      </c>
      <c r="K46" s="990">
        <v>0</v>
      </c>
      <c r="L46" s="990">
        <f t="shared" si="7"/>
        <v>0</v>
      </c>
      <c r="M46" s="990">
        <f t="shared" si="8"/>
        <v>0</v>
      </c>
      <c r="N46" s="986">
        <f>'Table 5C1A-Madison Prep'!N46</f>
        <v>3007</v>
      </c>
      <c r="O46" s="987">
        <f t="shared" si="9"/>
        <v>0</v>
      </c>
      <c r="P46" s="1030">
        <f t="shared" si="10"/>
        <v>0</v>
      </c>
      <c r="Q46" s="987">
        <f t="shared" si="11"/>
        <v>0</v>
      </c>
      <c r="R46" s="987">
        <v>0</v>
      </c>
      <c r="S46" s="987">
        <f t="shared" si="12"/>
        <v>0</v>
      </c>
      <c r="T46" s="987">
        <f t="shared" si="13"/>
        <v>0</v>
      </c>
      <c r="U46" s="988">
        <f t="shared" si="14"/>
        <v>0</v>
      </c>
      <c r="V46" s="988">
        <f t="shared" si="14"/>
        <v>0</v>
      </c>
    </row>
    <row r="47" spans="1:22">
      <c r="A47" s="953">
        <v>41</v>
      </c>
      <c r="B47" s="954" t="s">
        <v>133</v>
      </c>
      <c r="C47" s="1083">
        <v>0</v>
      </c>
      <c r="D47" s="968">
        <f>'Table 3 Levels 1&amp;2'!AL48</f>
        <v>1615.6013465627216</v>
      </c>
      <c r="E47" s="1015">
        <f t="shared" si="2"/>
        <v>0</v>
      </c>
      <c r="F47" s="1015">
        <f>'Table 4 Level 3'!P46</f>
        <v>886.22</v>
      </c>
      <c r="G47" s="1015">
        <f t="shared" si="3"/>
        <v>0</v>
      </c>
      <c r="H47" s="991">
        <f t="shared" si="4"/>
        <v>0</v>
      </c>
      <c r="I47" s="1025">
        <f t="shared" si="5"/>
        <v>0</v>
      </c>
      <c r="J47" s="991">
        <f t="shared" si="6"/>
        <v>0</v>
      </c>
      <c r="K47" s="991">
        <v>0</v>
      </c>
      <c r="L47" s="991">
        <f t="shared" si="7"/>
        <v>0</v>
      </c>
      <c r="M47" s="991">
        <f t="shared" si="8"/>
        <v>0</v>
      </c>
      <c r="N47" s="981">
        <f>'Table 5C1A-Madison Prep'!N47</f>
        <v>9087</v>
      </c>
      <c r="O47" s="958">
        <f t="shared" si="9"/>
        <v>0</v>
      </c>
      <c r="P47" s="1028">
        <f t="shared" si="10"/>
        <v>0</v>
      </c>
      <c r="Q47" s="958">
        <f t="shared" si="11"/>
        <v>0</v>
      </c>
      <c r="R47" s="958">
        <v>0</v>
      </c>
      <c r="S47" s="958">
        <f t="shared" si="12"/>
        <v>0</v>
      </c>
      <c r="T47" s="958">
        <f t="shared" si="13"/>
        <v>0</v>
      </c>
      <c r="U47" s="959">
        <f t="shared" si="14"/>
        <v>0</v>
      </c>
      <c r="V47" s="959">
        <f t="shared" si="14"/>
        <v>0</v>
      </c>
    </row>
    <row r="48" spans="1:22">
      <c r="A48" s="960">
        <v>42</v>
      </c>
      <c r="B48" s="961" t="s">
        <v>134</v>
      </c>
      <c r="C48" s="1081">
        <v>0</v>
      </c>
      <c r="D48" s="966">
        <f>'Table 3 Levels 1&amp;2'!AL49</f>
        <v>5087.4730460987803</v>
      </c>
      <c r="E48" s="1013">
        <f t="shared" si="2"/>
        <v>0</v>
      </c>
      <c r="F48" s="1013">
        <f>'Table 4 Level 3'!P47</f>
        <v>534.28</v>
      </c>
      <c r="G48" s="1013">
        <f t="shared" si="3"/>
        <v>0</v>
      </c>
      <c r="H48" s="989">
        <f t="shared" si="4"/>
        <v>0</v>
      </c>
      <c r="I48" s="1023">
        <f t="shared" si="5"/>
        <v>0</v>
      </c>
      <c r="J48" s="989">
        <f t="shared" si="6"/>
        <v>0</v>
      </c>
      <c r="K48" s="989">
        <v>0</v>
      </c>
      <c r="L48" s="989">
        <f t="shared" si="7"/>
        <v>0</v>
      </c>
      <c r="M48" s="989">
        <f t="shared" si="8"/>
        <v>0</v>
      </c>
      <c r="N48" s="981">
        <f>'Table 5C1A-Madison Prep'!N48</f>
        <v>2867</v>
      </c>
      <c r="O48" s="983">
        <f t="shared" si="9"/>
        <v>0</v>
      </c>
      <c r="P48" s="1029">
        <f t="shared" si="10"/>
        <v>0</v>
      </c>
      <c r="Q48" s="983">
        <f t="shared" si="11"/>
        <v>0</v>
      </c>
      <c r="R48" s="983">
        <v>0</v>
      </c>
      <c r="S48" s="983">
        <f t="shared" si="12"/>
        <v>0</v>
      </c>
      <c r="T48" s="983">
        <f t="shared" si="13"/>
        <v>0</v>
      </c>
      <c r="U48" s="984">
        <f t="shared" si="14"/>
        <v>0</v>
      </c>
      <c r="V48" s="984">
        <f t="shared" si="14"/>
        <v>0</v>
      </c>
    </row>
    <row r="49" spans="1:22">
      <c r="A49" s="960">
        <v>43</v>
      </c>
      <c r="B49" s="961" t="s">
        <v>135</v>
      </c>
      <c r="C49" s="1081">
        <v>0</v>
      </c>
      <c r="D49" s="966">
        <f>'Table 3 Levels 1&amp;2'!AL50</f>
        <v>4717.8414352725031</v>
      </c>
      <c r="E49" s="1013">
        <f t="shared" si="2"/>
        <v>0</v>
      </c>
      <c r="F49" s="1013">
        <f>'Table 4 Level 3'!P48</f>
        <v>574.6099999999999</v>
      </c>
      <c r="G49" s="1013">
        <f t="shared" si="3"/>
        <v>0</v>
      </c>
      <c r="H49" s="989">
        <f t="shared" si="4"/>
        <v>0</v>
      </c>
      <c r="I49" s="1023">
        <f t="shared" si="5"/>
        <v>0</v>
      </c>
      <c r="J49" s="989">
        <f t="shared" si="6"/>
        <v>0</v>
      </c>
      <c r="K49" s="989">
        <v>0</v>
      </c>
      <c r="L49" s="989">
        <f t="shared" si="7"/>
        <v>0</v>
      </c>
      <c r="M49" s="989">
        <f t="shared" si="8"/>
        <v>0</v>
      </c>
      <c r="N49" s="981">
        <f>'Table 5C1A-Madison Prep'!N49</f>
        <v>3587</v>
      </c>
      <c r="O49" s="983">
        <f t="shared" si="9"/>
        <v>0</v>
      </c>
      <c r="P49" s="1029">
        <f t="shared" si="10"/>
        <v>0</v>
      </c>
      <c r="Q49" s="983">
        <f t="shared" si="11"/>
        <v>0</v>
      </c>
      <c r="R49" s="983">
        <v>0</v>
      </c>
      <c r="S49" s="983">
        <f t="shared" si="12"/>
        <v>0</v>
      </c>
      <c r="T49" s="983">
        <f t="shared" si="13"/>
        <v>0</v>
      </c>
      <c r="U49" s="984">
        <f t="shared" si="14"/>
        <v>0</v>
      </c>
      <c r="V49" s="984">
        <f t="shared" si="14"/>
        <v>0</v>
      </c>
    </row>
    <row r="50" spans="1:22">
      <c r="A50" s="960">
        <v>44</v>
      </c>
      <c r="B50" s="961" t="s">
        <v>136</v>
      </c>
      <c r="C50" s="1081">
        <v>0</v>
      </c>
      <c r="D50" s="966">
        <f>'Table 3 Levels 1&amp;2'!AL51</f>
        <v>4696.6221228259064</v>
      </c>
      <c r="E50" s="1013">
        <f t="shared" si="2"/>
        <v>0</v>
      </c>
      <c r="F50" s="1013">
        <f>'Table 4 Level 3'!P49</f>
        <v>663.16000000000008</v>
      </c>
      <c r="G50" s="1013">
        <f t="shared" si="3"/>
        <v>0</v>
      </c>
      <c r="H50" s="989">
        <f t="shared" si="4"/>
        <v>0</v>
      </c>
      <c r="I50" s="1023">
        <f t="shared" si="5"/>
        <v>0</v>
      </c>
      <c r="J50" s="989">
        <f t="shared" si="6"/>
        <v>0</v>
      </c>
      <c r="K50" s="989">
        <v>0</v>
      </c>
      <c r="L50" s="989">
        <f t="shared" si="7"/>
        <v>0</v>
      </c>
      <c r="M50" s="989">
        <f t="shared" si="8"/>
        <v>0</v>
      </c>
      <c r="N50" s="981">
        <f>'Table 5C1A-Madison Prep'!N50</f>
        <v>4561</v>
      </c>
      <c r="O50" s="983">
        <f t="shared" si="9"/>
        <v>0</v>
      </c>
      <c r="P50" s="1029">
        <f t="shared" si="10"/>
        <v>0</v>
      </c>
      <c r="Q50" s="983">
        <f t="shared" si="11"/>
        <v>0</v>
      </c>
      <c r="R50" s="983">
        <v>0</v>
      </c>
      <c r="S50" s="983">
        <f t="shared" si="12"/>
        <v>0</v>
      </c>
      <c r="T50" s="983">
        <f t="shared" si="13"/>
        <v>0</v>
      </c>
      <c r="U50" s="984">
        <f t="shared" si="14"/>
        <v>0</v>
      </c>
      <c r="V50" s="984">
        <f t="shared" si="14"/>
        <v>0</v>
      </c>
    </row>
    <row r="51" spans="1:22">
      <c r="A51" s="963">
        <v>45</v>
      </c>
      <c r="B51" s="964" t="s">
        <v>137</v>
      </c>
      <c r="C51" s="1082">
        <v>0</v>
      </c>
      <c r="D51" s="967">
        <f>'Table 3 Levels 1&amp;2'!AL52</f>
        <v>2192.4914538932262</v>
      </c>
      <c r="E51" s="1014">
        <f t="shared" si="2"/>
        <v>0</v>
      </c>
      <c r="F51" s="1014">
        <f>'Table 4 Level 3'!P50</f>
        <v>753.96000000000015</v>
      </c>
      <c r="G51" s="1014">
        <f t="shared" si="3"/>
        <v>0</v>
      </c>
      <c r="H51" s="990">
        <f t="shared" si="4"/>
        <v>0</v>
      </c>
      <c r="I51" s="1024">
        <f t="shared" si="5"/>
        <v>0</v>
      </c>
      <c r="J51" s="990">
        <f t="shared" si="6"/>
        <v>0</v>
      </c>
      <c r="K51" s="990">
        <v>0</v>
      </c>
      <c r="L51" s="990">
        <f t="shared" si="7"/>
        <v>0</v>
      </c>
      <c r="M51" s="990">
        <f t="shared" si="8"/>
        <v>0</v>
      </c>
      <c r="N51" s="986">
        <f>'Table 5C1A-Madison Prep'!N51</f>
        <v>11287</v>
      </c>
      <c r="O51" s="987">
        <f t="shared" si="9"/>
        <v>0</v>
      </c>
      <c r="P51" s="1030">
        <f t="shared" si="10"/>
        <v>0</v>
      </c>
      <c r="Q51" s="987">
        <f t="shared" si="11"/>
        <v>0</v>
      </c>
      <c r="R51" s="987">
        <v>0</v>
      </c>
      <c r="S51" s="987">
        <f t="shared" si="12"/>
        <v>0</v>
      </c>
      <c r="T51" s="987">
        <f t="shared" si="13"/>
        <v>0</v>
      </c>
      <c r="U51" s="988">
        <f t="shared" si="14"/>
        <v>0</v>
      </c>
      <c r="V51" s="988">
        <f t="shared" si="14"/>
        <v>0</v>
      </c>
    </row>
    <row r="52" spans="1:22">
      <c r="A52" s="953">
        <v>46</v>
      </c>
      <c r="B52" s="954" t="s">
        <v>138</v>
      </c>
      <c r="C52" s="1083">
        <v>0</v>
      </c>
      <c r="D52" s="968">
        <f>'Table 3 Levels 1&amp;2'!AL53</f>
        <v>5644.6599115241634</v>
      </c>
      <c r="E52" s="1015">
        <f t="shared" si="2"/>
        <v>0</v>
      </c>
      <c r="F52" s="1015">
        <f>'Table 4 Level 3'!P51</f>
        <v>728.06</v>
      </c>
      <c r="G52" s="1015">
        <f t="shared" si="3"/>
        <v>0</v>
      </c>
      <c r="H52" s="991">
        <f t="shared" si="4"/>
        <v>0</v>
      </c>
      <c r="I52" s="1025">
        <f t="shared" si="5"/>
        <v>0</v>
      </c>
      <c r="J52" s="991">
        <f t="shared" si="6"/>
        <v>0</v>
      </c>
      <c r="K52" s="991">
        <v>0</v>
      </c>
      <c r="L52" s="991">
        <f t="shared" si="7"/>
        <v>0</v>
      </c>
      <c r="M52" s="991">
        <f t="shared" si="8"/>
        <v>0</v>
      </c>
      <c r="N52" s="981">
        <f>'Table 5C1A-Madison Prep'!N52</f>
        <v>2150</v>
      </c>
      <c r="O52" s="958">
        <f t="shared" si="9"/>
        <v>0</v>
      </c>
      <c r="P52" s="1028">
        <f t="shared" si="10"/>
        <v>0</v>
      </c>
      <c r="Q52" s="958">
        <f t="shared" si="11"/>
        <v>0</v>
      </c>
      <c r="R52" s="958">
        <v>0</v>
      </c>
      <c r="S52" s="958">
        <f t="shared" si="12"/>
        <v>0</v>
      </c>
      <c r="T52" s="958">
        <f t="shared" si="13"/>
        <v>0</v>
      </c>
      <c r="U52" s="959">
        <f t="shared" si="14"/>
        <v>0</v>
      </c>
      <c r="V52" s="959">
        <f t="shared" si="14"/>
        <v>0</v>
      </c>
    </row>
    <row r="53" spans="1:22">
      <c r="A53" s="960">
        <v>47</v>
      </c>
      <c r="B53" s="961" t="s">
        <v>139</v>
      </c>
      <c r="C53" s="1081">
        <v>0</v>
      </c>
      <c r="D53" s="966">
        <f>'Table 3 Levels 1&amp;2'!AL54</f>
        <v>2731.2444076222037</v>
      </c>
      <c r="E53" s="1013">
        <f t="shared" si="2"/>
        <v>0</v>
      </c>
      <c r="F53" s="1013">
        <f>'Table 4 Level 3'!P52</f>
        <v>910.76</v>
      </c>
      <c r="G53" s="1013">
        <f t="shared" si="3"/>
        <v>0</v>
      </c>
      <c r="H53" s="989">
        <f t="shared" si="4"/>
        <v>0</v>
      </c>
      <c r="I53" s="1023">
        <f t="shared" si="5"/>
        <v>0</v>
      </c>
      <c r="J53" s="989">
        <f t="shared" si="6"/>
        <v>0</v>
      </c>
      <c r="K53" s="989">
        <v>0</v>
      </c>
      <c r="L53" s="989">
        <f t="shared" si="7"/>
        <v>0</v>
      </c>
      <c r="M53" s="989">
        <f t="shared" si="8"/>
        <v>0</v>
      </c>
      <c r="N53" s="981">
        <f>'Table 5C1A-Madison Prep'!N53</f>
        <v>13280</v>
      </c>
      <c r="O53" s="983">
        <f t="shared" si="9"/>
        <v>0</v>
      </c>
      <c r="P53" s="1029">
        <f t="shared" si="10"/>
        <v>0</v>
      </c>
      <c r="Q53" s="983">
        <f t="shared" si="11"/>
        <v>0</v>
      </c>
      <c r="R53" s="983">
        <v>0</v>
      </c>
      <c r="S53" s="983">
        <f t="shared" si="12"/>
        <v>0</v>
      </c>
      <c r="T53" s="983">
        <f t="shared" si="13"/>
        <v>0</v>
      </c>
      <c r="U53" s="984">
        <f t="shared" si="14"/>
        <v>0</v>
      </c>
      <c r="V53" s="984">
        <f t="shared" si="14"/>
        <v>0</v>
      </c>
    </row>
    <row r="54" spans="1:22">
      <c r="A54" s="960">
        <v>48</v>
      </c>
      <c r="B54" s="961" t="s">
        <v>197</v>
      </c>
      <c r="C54" s="1081">
        <v>0</v>
      </c>
      <c r="D54" s="966">
        <f>'Table 3 Levels 1&amp;2'!AL55</f>
        <v>4272.723323083942</v>
      </c>
      <c r="E54" s="1013">
        <f t="shared" si="2"/>
        <v>0</v>
      </c>
      <c r="F54" s="1013">
        <f>'Table 4 Level 3'!P53</f>
        <v>871.07</v>
      </c>
      <c r="G54" s="1013">
        <f t="shared" si="3"/>
        <v>0</v>
      </c>
      <c r="H54" s="989">
        <f t="shared" si="4"/>
        <v>0</v>
      </c>
      <c r="I54" s="1023">
        <f t="shared" si="5"/>
        <v>0</v>
      </c>
      <c r="J54" s="989">
        <f t="shared" si="6"/>
        <v>0</v>
      </c>
      <c r="K54" s="989">
        <v>0</v>
      </c>
      <c r="L54" s="989">
        <f t="shared" si="7"/>
        <v>0</v>
      </c>
      <c r="M54" s="989">
        <f t="shared" si="8"/>
        <v>0</v>
      </c>
      <c r="N54" s="981">
        <f>'Table 5C1A-Madison Prep'!N54</f>
        <v>6453</v>
      </c>
      <c r="O54" s="983">
        <f t="shared" si="9"/>
        <v>0</v>
      </c>
      <c r="P54" s="1029">
        <f t="shared" si="10"/>
        <v>0</v>
      </c>
      <c r="Q54" s="983">
        <f t="shared" si="11"/>
        <v>0</v>
      </c>
      <c r="R54" s="983">
        <v>0</v>
      </c>
      <c r="S54" s="983">
        <f t="shared" si="12"/>
        <v>0</v>
      </c>
      <c r="T54" s="983">
        <f t="shared" si="13"/>
        <v>0</v>
      </c>
      <c r="U54" s="984">
        <f t="shared" si="14"/>
        <v>0</v>
      </c>
      <c r="V54" s="984">
        <f t="shared" si="14"/>
        <v>0</v>
      </c>
    </row>
    <row r="55" spans="1:22">
      <c r="A55" s="960">
        <v>49</v>
      </c>
      <c r="B55" s="961" t="s">
        <v>140</v>
      </c>
      <c r="C55" s="1081">
        <v>0</v>
      </c>
      <c r="D55" s="966">
        <f>'Table 3 Levels 1&amp;2'!AL56</f>
        <v>4836.7092570332552</v>
      </c>
      <c r="E55" s="1013">
        <f t="shared" si="2"/>
        <v>0</v>
      </c>
      <c r="F55" s="1013">
        <f>'Table 4 Level 3'!P54</f>
        <v>574.43999999999994</v>
      </c>
      <c r="G55" s="1013">
        <f t="shared" si="3"/>
        <v>0</v>
      </c>
      <c r="H55" s="989">
        <f t="shared" si="4"/>
        <v>0</v>
      </c>
      <c r="I55" s="1023">
        <f t="shared" si="5"/>
        <v>0</v>
      </c>
      <c r="J55" s="989">
        <f t="shared" si="6"/>
        <v>0</v>
      </c>
      <c r="K55" s="989">
        <v>0</v>
      </c>
      <c r="L55" s="989">
        <f t="shared" si="7"/>
        <v>0</v>
      </c>
      <c r="M55" s="989">
        <f t="shared" si="8"/>
        <v>0</v>
      </c>
      <c r="N55" s="981">
        <f>'Table 5C1A-Madison Prep'!N55</f>
        <v>2287</v>
      </c>
      <c r="O55" s="983">
        <f t="shared" si="9"/>
        <v>0</v>
      </c>
      <c r="P55" s="1029">
        <f t="shared" si="10"/>
        <v>0</v>
      </c>
      <c r="Q55" s="983">
        <f t="shared" si="11"/>
        <v>0</v>
      </c>
      <c r="R55" s="983">
        <v>0</v>
      </c>
      <c r="S55" s="983">
        <f t="shared" si="12"/>
        <v>0</v>
      </c>
      <c r="T55" s="983">
        <f t="shared" si="13"/>
        <v>0</v>
      </c>
      <c r="U55" s="984">
        <f t="shared" si="14"/>
        <v>0</v>
      </c>
      <c r="V55" s="984">
        <f t="shared" si="14"/>
        <v>0</v>
      </c>
    </row>
    <row r="56" spans="1:22">
      <c r="A56" s="963">
        <v>50</v>
      </c>
      <c r="B56" s="964" t="s">
        <v>141</v>
      </c>
      <c r="C56" s="1082">
        <v>0</v>
      </c>
      <c r="D56" s="967">
        <f>'Table 3 Levels 1&amp;2'!AL57</f>
        <v>5032.6862895017111</v>
      </c>
      <c r="E56" s="1014">
        <f t="shared" si="2"/>
        <v>0</v>
      </c>
      <c r="F56" s="1014">
        <f>'Table 4 Level 3'!P55</f>
        <v>634.46</v>
      </c>
      <c r="G56" s="1014">
        <f t="shared" si="3"/>
        <v>0</v>
      </c>
      <c r="H56" s="990">
        <f t="shared" si="4"/>
        <v>0</v>
      </c>
      <c r="I56" s="1024">
        <f t="shared" si="5"/>
        <v>0</v>
      </c>
      <c r="J56" s="990">
        <f t="shared" si="6"/>
        <v>0</v>
      </c>
      <c r="K56" s="990">
        <v>0</v>
      </c>
      <c r="L56" s="990">
        <f t="shared" si="7"/>
        <v>0</v>
      </c>
      <c r="M56" s="990">
        <f t="shared" si="8"/>
        <v>0</v>
      </c>
      <c r="N56" s="986">
        <f>'Table 5C1A-Madison Prep'!N56</f>
        <v>2801</v>
      </c>
      <c r="O56" s="987">
        <f t="shared" si="9"/>
        <v>0</v>
      </c>
      <c r="P56" s="1030">
        <f t="shared" si="10"/>
        <v>0</v>
      </c>
      <c r="Q56" s="987">
        <f t="shared" si="11"/>
        <v>0</v>
      </c>
      <c r="R56" s="987">
        <v>0</v>
      </c>
      <c r="S56" s="987">
        <f t="shared" si="12"/>
        <v>0</v>
      </c>
      <c r="T56" s="987">
        <f t="shared" si="13"/>
        <v>0</v>
      </c>
      <c r="U56" s="988">
        <f t="shared" si="14"/>
        <v>0</v>
      </c>
      <c r="V56" s="988">
        <f t="shared" si="14"/>
        <v>0</v>
      </c>
    </row>
    <row r="57" spans="1:22">
      <c r="A57" s="953">
        <v>51</v>
      </c>
      <c r="B57" s="954" t="s">
        <v>142</v>
      </c>
      <c r="C57" s="1083">
        <v>0</v>
      </c>
      <c r="D57" s="968">
        <f>'Table 3 Levels 1&amp;2'!AL58</f>
        <v>4246.0339872793602</v>
      </c>
      <c r="E57" s="1015">
        <f t="shared" si="2"/>
        <v>0</v>
      </c>
      <c r="F57" s="1015">
        <f>'Table 4 Level 3'!P56</f>
        <v>706.66</v>
      </c>
      <c r="G57" s="1015">
        <f t="shared" si="3"/>
        <v>0</v>
      </c>
      <c r="H57" s="991">
        <f t="shared" si="4"/>
        <v>0</v>
      </c>
      <c r="I57" s="1025">
        <f t="shared" si="5"/>
        <v>0</v>
      </c>
      <c r="J57" s="991">
        <f t="shared" si="6"/>
        <v>0</v>
      </c>
      <c r="K57" s="991">
        <v>0</v>
      </c>
      <c r="L57" s="991">
        <f t="shared" si="7"/>
        <v>0</v>
      </c>
      <c r="M57" s="991">
        <f t="shared" si="8"/>
        <v>0</v>
      </c>
      <c r="N57" s="981">
        <f>'Table 5C1A-Madison Prep'!N57</f>
        <v>4215</v>
      </c>
      <c r="O57" s="958">
        <f t="shared" si="9"/>
        <v>0</v>
      </c>
      <c r="P57" s="1028">
        <f t="shared" si="10"/>
        <v>0</v>
      </c>
      <c r="Q57" s="958">
        <f t="shared" si="11"/>
        <v>0</v>
      </c>
      <c r="R57" s="958">
        <v>0</v>
      </c>
      <c r="S57" s="958">
        <f t="shared" si="12"/>
        <v>0</v>
      </c>
      <c r="T57" s="958">
        <f t="shared" si="13"/>
        <v>0</v>
      </c>
      <c r="U57" s="959">
        <f t="shared" si="14"/>
        <v>0</v>
      </c>
      <c r="V57" s="959">
        <f t="shared" si="14"/>
        <v>0</v>
      </c>
    </row>
    <row r="58" spans="1:22">
      <c r="A58" s="960">
        <v>52</v>
      </c>
      <c r="B58" s="961" t="s">
        <v>143</v>
      </c>
      <c r="C58" s="1081">
        <v>0</v>
      </c>
      <c r="D58" s="966">
        <f>'Table 3 Levels 1&amp;2'!AL59</f>
        <v>5013.4438050113249</v>
      </c>
      <c r="E58" s="1013">
        <f t="shared" si="2"/>
        <v>0</v>
      </c>
      <c r="F58" s="1013">
        <f>'Table 4 Level 3'!P57</f>
        <v>658.37</v>
      </c>
      <c r="G58" s="1013">
        <f t="shared" si="3"/>
        <v>0</v>
      </c>
      <c r="H58" s="989">
        <f t="shared" si="4"/>
        <v>0</v>
      </c>
      <c r="I58" s="1023">
        <f t="shared" si="5"/>
        <v>0</v>
      </c>
      <c r="J58" s="989">
        <f t="shared" si="6"/>
        <v>0</v>
      </c>
      <c r="K58" s="989">
        <v>0</v>
      </c>
      <c r="L58" s="989">
        <f t="shared" si="7"/>
        <v>0</v>
      </c>
      <c r="M58" s="989">
        <f t="shared" si="8"/>
        <v>0</v>
      </c>
      <c r="N58" s="981">
        <f>'Table 5C1A-Madison Prep'!N58</f>
        <v>4889</v>
      </c>
      <c r="O58" s="983">
        <f t="shared" si="9"/>
        <v>0</v>
      </c>
      <c r="P58" s="1029">
        <f t="shared" si="10"/>
        <v>0</v>
      </c>
      <c r="Q58" s="983">
        <f t="shared" si="11"/>
        <v>0</v>
      </c>
      <c r="R58" s="983">
        <v>0</v>
      </c>
      <c r="S58" s="983">
        <f t="shared" si="12"/>
        <v>0</v>
      </c>
      <c r="T58" s="983">
        <f t="shared" si="13"/>
        <v>0</v>
      </c>
      <c r="U58" s="984">
        <f t="shared" si="14"/>
        <v>0</v>
      </c>
      <c r="V58" s="984">
        <f t="shared" si="14"/>
        <v>0</v>
      </c>
    </row>
    <row r="59" spans="1:22">
      <c r="A59" s="960">
        <v>53</v>
      </c>
      <c r="B59" s="961" t="s">
        <v>144</v>
      </c>
      <c r="C59" s="1081">
        <v>0</v>
      </c>
      <c r="D59" s="966">
        <f>'Table 3 Levels 1&amp;2'!AL60</f>
        <v>4775.5877635581091</v>
      </c>
      <c r="E59" s="1013">
        <f t="shared" si="2"/>
        <v>0</v>
      </c>
      <c r="F59" s="1013">
        <f>'Table 4 Level 3'!P58</f>
        <v>689.74</v>
      </c>
      <c r="G59" s="1013">
        <f t="shared" si="3"/>
        <v>0</v>
      </c>
      <c r="H59" s="989">
        <f t="shared" si="4"/>
        <v>0</v>
      </c>
      <c r="I59" s="1023">
        <f t="shared" si="5"/>
        <v>0</v>
      </c>
      <c r="J59" s="989">
        <f t="shared" si="6"/>
        <v>0</v>
      </c>
      <c r="K59" s="989">
        <v>0</v>
      </c>
      <c r="L59" s="989">
        <f t="shared" si="7"/>
        <v>0</v>
      </c>
      <c r="M59" s="989">
        <f t="shared" si="8"/>
        <v>0</v>
      </c>
      <c r="N59" s="981">
        <f>'Table 5C1A-Madison Prep'!N59</f>
        <v>2119</v>
      </c>
      <c r="O59" s="983">
        <f t="shared" si="9"/>
        <v>0</v>
      </c>
      <c r="P59" s="1029">
        <f t="shared" si="10"/>
        <v>0</v>
      </c>
      <c r="Q59" s="983">
        <f t="shared" si="11"/>
        <v>0</v>
      </c>
      <c r="R59" s="983">
        <v>0</v>
      </c>
      <c r="S59" s="983">
        <f t="shared" si="12"/>
        <v>0</v>
      </c>
      <c r="T59" s="983">
        <f t="shared" si="13"/>
        <v>0</v>
      </c>
      <c r="U59" s="984">
        <f t="shared" si="14"/>
        <v>0</v>
      </c>
      <c r="V59" s="984">
        <f t="shared" si="14"/>
        <v>0</v>
      </c>
    </row>
    <row r="60" spans="1:22">
      <c r="A60" s="960">
        <v>54</v>
      </c>
      <c r="B60" s="961" t="s">
        <v>145</v>
      </c>
      <c r="C60" s="1081">
        <v>0</v>
      </c>
      <c r="D60" s="966">
        <f>'Table 3 Levels 1&amp;2'!AL61</f>
        <v>5951.8009386275662</v>
      </c>
      <c r="E60" s="1013">
        <f t="shared" si="2"/>
        <v>0</v>
      </c>
      <c r="F60" s="1013">
        <f>'Table 4 Level 3'!P59</f>
        <v>951.45</v>
      </c>
      <c r="G60" s="1013">
        <f t="shared" si="3"/>
        <v>0</v>
      </c>
      <c r="H60" s="989">
        <f t="shared" si="4"/>
        <v>0</v>
      </c>
      <c r="I60" s="1023">
        <f t="shared" si="5"/>
        <v>0</v>
      </c>
      <c r="J60" s="989">
        <f t="shared" si="6"/>
        <v>0</v>
      </c>
      <c r="K60" s="989">
        <v>0</v>
      </c>
      <c r="L60" s="989">
        <f t="shared" si="7"/>
        <v>0</v>
      </c>
      <c r="M60" s="989">
        <f t="shared" si="8"/>
        <v>0</v>
      </c>
      <c r="N60" s="981">
        <f>'Table 5C1A-Madison Prep'!N60</f>
        <v>3690</v>
      </c>
      <c r="O60" s="983">
        <f t="shared" si="9"/>
        <v>0</v>
      </c>
      <c r="P60" s="1029">
        <f t="shared" si="10"/>
        <v>0</v>
      </c>
      <c r="Q60" s="983">
        <f t="shared" si="11"/>
        <v>0</v>
      </c>
      <c r="R60" s="983">
        <v>0</v>
      </c>
      <c r="S60" s="983">
        <f t="shared" si="12"/>
        <v>0</v>
      </c>
      <c r="T60" s="983">
        <f t="shared" si="13"/>
        <v>0</v>
      </c>
      <c r="U60" s="984">
        <f t="shared" si="14"/>
        <v>0</v>
      </c>
      <c r="V60" s="984">
        <f t="shared" si="14"/>
        <v>0</v>
      </c>
    </row>
    <row r="61" spans="1:22">
      <c r="A61" s="963">
        <v>55</v>
      </c>
      <c r="B61" s="964" t="s">
        <v>146</v>
      </c>
      <c r="C61" s="1082">
        <v>0</v>
      </c>
      <c r="D61" s="967">
        <f>'Table 3 Levels 1&amp;2'!AL62</f>
        <v>4171.0434735233157</v>
      </c>
      <c r="E61" s="1014">
        <f t="shared" si="2"/>
        <v>0</v>
      </c>
      <c r="F61" s="1014">
        <f>'Table 4 Level 3'!P60</f>
        <v>795.14</v>
      </c>
      <c r="G61" s="1014">
        <f t="shared" si="3"/>
        <v>0</v>
      </c>
      <c r="H61" s="990">
        <f t="shared" si="4"/>
        <v>0</v>
      </c>
      <c r="I61" s="1024">
        <f t="shared" si="5"/>
        <v>0</v>
      </c>
      <c r="J61" s="990">
        <f t="shared" si="6"/>
        <v>0</v>
      </c>
      <c r="K61" s="990">
        <v>0</v>
      </c>
      <c r="L61" s="990">
        <f t="shared" si="7"/>
        <v>0</v>
      </c>
      <c r="M61" s="990">
        <f t="shared" si="8"/>
        <v>0</v>
      </c>
      <c r="N61" s="986">
        <f>'Table 5C1A-Madison Prep'!N61</f>
        <v>3157</v>
      </c>
      <c r="O61" s="987">
        <f t="shared" si="9"/>
        <v>0</v>
      </c>
      <c r="P61" s="1030">
        <f t="shared" si="10"/>
        <v>0</v>
      </c>
      <c r="Q61" s="987">
        <f t="shared" si="11"/>
        <v>0</v>
      </c>
      <c r="R61" s="987">
        <v>0</v>
      </c>
      <c r="S61" s="987">
        <f t="shared" si="12"/>
        <v>0</v>
      </c>
      <c r="T61" s="987">
        <f t="shared" si="13"/>
        <v>0</v>
      </c>
      <c r="U61" s="988">
        <f t="shared" si="14"/>
        <v>0</v>
      </c>
      <c r="V61" s="988">
        <f t="shared" si="14"/>
        <v>0</v>
      </c>
    </row>
    <row r="62" spans="1:22">
      <c r="A62" s="953">
        <v>56</v>
      </c>
      <c r="B62" s="954" t="s">
        <v>147</v>
      </c>
      <c r="C62" s="1083">
        <v>0</v>
      </c>
      <c r="D62" s="968">
        <f>'Table 3 Levels 1&amp;2'!AL63</f>
        <v>4968.593189672727</v>
      </c>
      <c r="E62" s="1015">
        <f t="shared" si="2"/>
        <v>0</v>
      </c>
      <c r="F62" s="1015">
        <f>'Table 4 Level 3'!P61</f>
        <v>614.66000000000008</v>
      </c>
      <c r="G62" s="1015">
        <f t="shared" si="3"/>
        <v>0</v>
      </c>
      <c r="H62" s="991">
        <f t="shared" si="4"/>
        <v>0</v>
      </c>
      <c r="I62" s="1025">
        <f t="shared" si="5"/>
        <v>0</v>
      </c>
      <c r="J62" s="991">
        <f t="shared" si="6"/>
        <v>0</v>
      </c>
      <c r="K62" s="991">
        <v>0</v>
      </c>
      <c r="L62" s="991">
        <f t="shared" si="7"/>
        <v>0</v>
      </c>
      <c r="M62" s="991">
        <f t="shared" si="8"/>
        <v>0</v>
      </c>
      <c r="N62" s="981">
        <f>'Table 5C1A-Madison Prep'!N62</f>
        <v>2779</v>
      </c>
      <c r="O62" s="958">
        <f t="shared" si="9"/>
        <v>0</v>
      </c>
      <c r="P62" s="1028">
        <f t="shared" si="10"/>
        <v>0</v>
      </c>
      <c r="Q62" s="958">
        <f t="shared" si="11"/>
        <v>0</v>
      </c>
      <c r="R62" s="958">
        <v>0</v>
      </c>
      <c r="S62" s="958">
        <f t="shared" si="12"/>
        <v>0</v>
      </c>
      <c r="T62" s="958">
        <f t="shared" si="13"/>
        <v>0</v>
      </c>
      <c r="U62" s="959">
        <f t="shared" si="14"/>
        <v>0</v>
      </c>
      <c r="V62" s="959">
        <f t="shared" si="14"/>
        <v>0</v>
      </c>
    </row>
    <row r="63" spans="1:22">
      <c r="A63" s="960">
        <v>57</v>
      </c>
      <c r="B63" s="961" t="s">
        <v>148</v>
      </c>
      <c r="C63" s="1081">
        <v>0</v>
      </c>
      <c r="D63" s="966">
        <f>'Table 3 Levels 1&amp;2'!AL64</f>
        <v>4485.7073020218859</v>
      </c>
      <c r="E63" s="1013">
        <f t="shared" si="2"/>
        <v>0</v>
      </c>
      <c r="F63" s="1013">
        <f>'Table 4 Level 3'!P62</f>
        <v>764.51</v>
      </c>
      <c r="G63" s="1013">
        <f t="shared" si="3"/>
        <v>0</v>
      </c>
      <c r="H63" s="989">
        <f t="shared" si="4"/>
        <v>0</v>
      </c>
      <c r="I63" s="1023">
        <f t="shared" si="5"/>
        <v>0</v>
      </c>
      <c r="J63" s="989">
        <f t="shared" si="6"/>
        <v>0</v>
      </c>
      <c r="K63" s="989">
        <v>0</v>
      </c>
      <c r="L63" s="989">
        <f t="shared" si="7"/>
        <v>0</v>
      </c>
      <c r="M63" s="989">
        <f t="shared" si="8"/>
        <v>0</v>
      </c>
      <c r="N63" s="981">
        <f>'Table 5C1A-Madison Prep'!N63</f>
        <v>3107</v>
      </c>
      <c r="O63" s="983">
        <f t="shared" si="9"/>
        <v>0</v>
      </c>
      <c r="P63" s="1029">
        <f t="shared" si="10"/>
        <v>0</v>
      </c>
      <c r="Q63" s="983">
        <f t="shared" si="11"/>
        <v>0</v>
      </c>
      <c r="R63" s="983">
        <v>0</v>
      </c>
      <c r="S63" s="983">
        <f t="shared" si="12"/>
        <v>0</v>
      </c>
      <c r="T63" s="983">
        <f t="shared" si="13"/>
        <v>0</v>
      </c>
      <c r="U63" s="984">
        <f t="shared" si="14"/>
        <v>0</v>
      </c>
      <c r="V63" s="984">
        <f t="shared" si="14"/>
        <v>0</v>
      </c>
    </row>
    <row r="64" spans="1:22">
      <c r="A64" s="960">
        <v>58</v>
      </c>
      <c r="B64" s="961" t="s">
        <v>149</v>
      </c>
      <c r="C64" s="1081">
        <v>0</v>
      </c>
      <c r="D64" s="966">
        <f>'Table 3 Levels 1&amp;2'!AL65</f>
        <v>5457.8662803476354</v>
      </c>
      <c r="E64" s="1013">
        <f t="shared" si="2"/>
        <v>0</v>
      </c>
      <c r="F64" s="1013">
        <f>'Table 4 Level 3'!P63</f>
        <v>697.04</v>
      </c>
      <c r="G64" s="1013">
        <f t="shared" si="3"/>
        <v>0</v>
      </c>
      <c r="H64" s="989">
        <f t="shared" si="4"/>
        <v>0</v>
      </c>
      <c r="I64" s="1023">
        <f t="shared" si="5"/>
        <v>0</v>
      </c>
      <c r="J64" s="989">
        <f t="shared" si="6"/>
        <v>0</v>
      </c>
      <c r="K64" s="989">
        <v>0</v>
      </c>
      <c r="L64" s="989">
        <f t="shared" si="7"/>
        <v>0</v>
      </c>
      <c r="M64" s="989">
        <f t="shared" si="8"/>
        <v>0</v>
      </c>
      <c r="N64" s="981">
        <f>'Table 5C1A-Madison Prep'!N64</f>
        <v>2105</v>
      </c>
      <c r="O64" s="983">
        <f t="shared" si="9"/>
        <v>0</v>
      </c>
      <c r="P64" s="1029">
        <f t="shared" si="10"/>
        <v>0</v>
      </c>
      <c r="Q64" s="983">
        <f t="shared" si="11"/>
        <v>0</v>
      </c>
      <c r="R64" s="983">
        <v>0</v>
      </c>
      <c r="S64" s="983">
        <f t="shared" si="12"/>
        <v>0</v>
      </c>
      <c r="T64" s="983">
        <f t="shared" si="13"/>
        <v>0</v>
      </c>
      <c r="U64" s="984">
        <f t="shared" si="14"/>
        <v>0</v>
      </c>
      <c r="V64" s="984">
        <f t="shared" si="14"/>
        <v>0</v>
      </c>
    </row>
    <row r="65" spans="1:22">
      <c r="A65" s="960">
        <v>59</v>
      </c>
      <c r="B65" s="961" t="s">
        <v>150</v>
      </c>
      <c r="C65" s="1081">
        <v>0</v>
      </c>
      <c r="D65" s="966">
        <f>'Table 3 Levels 1&amp;2'!AL66</f>
        <v>6274.2786338006481</v>
      </c>
      <c r="E65" s="1013">
        <f t="shared" si="2"/>
        <v>0</v>
      </c>
      <c r="F65" s="1013">
        <f>'Table 4 Level 3'!P64</f>
        <v>689.52</v>
      </c>
      <c r="G65" s="1013">
        <f t="shared" si="3"/>
        <v>0</v>
      </c>
      <c r="H65" s="989">
        <f t="shared" si="4"/>
        <v>0</v>
      </c>
      <c r="I65" s="1023">
        <f t="shared" si="5"/>
        <v>0</v>
      </c>
      <c r="J65" s="989">
        <f t="shared" si="6"/>
        <v>0</v>
      </c>
      <c r="K65" s="989">
        <v>0</v>
      </c>
      <c r="L65" s="989">
        <f t="shared" si="7"/>
        <v>0</v>
      </c>
      <c r="M65" s="989">
        <f t="shared" si="8"/>
        <v>0</v>
      </c>
      <c r="N65" s="981">
        <f>'Table 5C1A-Madison Prep'!N65</f>
        <v>1510</v>
      </c>
      <c r="O65" s="983">
        <f t="shared" si="9"/>
        <v>0</v>
      </c>
      <c r="P65" s="1029">
        <f t="shared" si="10"/>
        <v>0</v>
      </c>
      <c r="Q65" s="983">
        <f t="shared" si="11"/>
        <v>0</v>
      </c>
      <c r="R65" s="983">
        <v>0</v>
      </c>
      <c r="S65" s="983">
        <f t="shared" si="12"/>
        <v>0</v>
      </c>
      <c r="T65" s="983">
        <f t="shared" si="13"/>
        <v>0</v>
      </c>
      <c r="U65" s="984">
        <f t="shared" si="14"/>
        <v>0</v>
      </c>
      <c r="V65" s="984">
        <f t="shared" si="14"/>
        <v>0</v>
      </c>
    </row>
    <row r="66" spans="1:22">
      <c r="A66" s="963">
        <v>60</v>
      </c>
      <c r="B66" s="964" t="s">
        <v>151</v>
      </c>
      <c r="C66" s="1082">
        <v>0</v>
      </c>
      <c r="D66" s="967">
        <f>'Table 3 Levels 1&amp;2'!AL67</f>
        <v>4940.9166775610411</v>
      </c>
      <c r="E66" s="1014">
        <f t="shared" si="2"/>
        <v>0</v>
      </c>
      <c r="F66" s="1014">
        <f>'Table 4 Level 3'!P65</f>
        <v>594.04</v>
      </c>
      <c r="G66" s="1014">
        <f t="shared" si="3"/>
        <v>0</v>
      </c>
      <c r="H66" s="990">
        <f t="shared" si="4"/>
        <v>0</v>
      </c>
      <c r="I66" s="1024">
        <f t="shared" si="5"/>
        <v>0</v>
      </c>
      <c r="J66" s="990">
        <f t="shared" si="6"/>
        <v>0</v>
      </c>
      <c r="K66" s="990">
        <v>0</v>
      </c>
      <c r="L66" s="990">
        <f t="shared" si="7"/>
        <v>0</v>
      </c>
      <c r="M66" s="990">
        <f t="shared" si="8"/>
        <v>0</v>
      </c>
      <c r="N66" s="986">
        <f>'Table 5C1A-Madison Prep'!N66</f>
        <v>3793</v>
      </c>
      <c r="O66" s="987">
        <f t="shared" si="9"/>
        <v>0</v>
      </c>
      <c r="P66" s="1030">
        <f t="shared" si="10"/>
        <v>0</v>
      </c>
      <c r="Q66" s="987">
        <f t="shared" si="11"/>
        <v>0</v>
      </c>
      <c r="R66" s="987">
        <v>0</v>
      </c>
      <c r="S66" s="987">
        <f t="shared" si="12"/>
        <v>0</v>
      </c>
      <c r="T66" s="987">
        <f t="shared" si="13"/>
        <v>0</v>
      </c>
      <c r="U66" s="988">
        <f t="shared" si="14"/>
        <v>0</v>
      </c>
      <c r="V66" s="988">
        <f t="shared" si="14"/>
        <v>0</v>
      </c>
    </row>
    <row r="67" spans="1:22">
      <c r="A67" s="953">
        <v>61</v>
      </c>
      <c r="B67" s="954" t="s">
        <v>152</v>
      </c>
      <c r="C67" s="1083">
        <v>0</v>
      </c>
      <c r="D67" s="968">
        <f>'Table 3 Levels 1&amp;2'!AL68</f>
        <v>2908.0344869339228</v>
      </c>
      <c r="E67" s="1015">
        <f t="shared" si="2"/>
        <v>0</v>
      </c>
      <c r="F67" s="1015">
        <f>'Table 4 Level 3'!P66</f>
        <v>833.70999999999992</v>
      </c>
      <c r="G67" s="1015">
        <f t="shared" si="3"/>
        <v>0</v>
      </c>
      <c r="H67" s="991">
        <f t="shared" si="4"/>
        <v>0</v>
      </c>
      <c r="I67" s="1025">
        <f t="shared" si="5"/>
        <v>0</v>
      </c>
      <c r="J67" s="991">
        <f t="shared" si="6"/>
        <v>0</v>
      </c>
      <c r="K67" s="991">
        <v>0</v>
      </c>
      <c r="L67" s="991">
        <f t="shared" si="7"/>
        <v>0</v>
      </c>
      <c r="M67" s="991">
        <f t="shared" si="8"/>
        <v>0</v>
      </c>
      <c r="N67" s="981">
        <f>'Table 5C1A-Madison Prep'!N67</f>
        <v>6570</v>
      </c>
      <c r="O67" s="958">
        <f t="shared" si="9"/>
        <v>0</v>
      </c>
      <c r="P67" s="1028">
        <f t="shared" si="10"/>
        <v>0</v>
      </c>
      <c r="Q67" s="958">
        <f t="shared" si="11"/>
        <v>0</v>
      </c>
      <c r="R67" s="958">
        <v>0</v>
      </c>
      <c r="S67" s="958">
        <f t="shared" si="12"/>
        <v>0</v>
      </c>
      <c r="T67" s="958">
        <f t="shared" si="13"/>
        <v>0</v>
      </c>
      <c r="U67" s="959">
        <f t="shared" si="14"/>
        <v>0</v>
      </c>
      <c r="V67" s="959">
        <f t="shared" si="14"/>
        <v>0</v>
      </c>
    </row>
    <row r="68" spans="1:22">
      <c r="A68" s="960">
        <v>62</v>
      </c>
      <c r="B68" s="961" t="s">
        <v>153</v>
      </c>
      <c r="C68" s="1081">
        <v>0</v>
      </c>
      <c r="D68" s="966">
        <f>'Table 3 Levels 1&amp;2'!AL69</f>
        <v>5652.1730736722093</v>
      </c>
      <c r="E68" s="1013">
        <f t="shared" si="2"/>
        <v>0</v>
      </c>
      <c r="F68" s="1013">
        <f>'Table 4 Level 3'!P67</f>
        <v>516.08000000000004</v>
      </c>
      <c r="G68" s="1013">
        <f t="shared" si="3"/>
        <v>0</v>
      </c>
      <c r="H68" s="989">
        <f t="shared" si="4"/>
        <v>0</v>
      </c>
      <c r="I68" s="1023">
        <f t="shared" si="5"/>
        <v>0</v>
      </c>
      <c r="J68" s="989">
        <f t="shared" si="6"/>
        <v>0</v>
      </c>
      <c r="K68" s="989">
        <v>0</v>
      </c>
      <c r="L68" s="989">
        <f t="shared" si="7"/>
        <v>0</v>
      </c>
      <c r="M68" s="989">
        <f t="shared" si="8"/>
        <v>0</v>
      </c>
      <c r="N68" s="981">
        <f>'Table 5C1A-Madison Prep'!N68</f>
        <v>1934</v>
      </c>
      <c r="O68" s="983">
        <f t="shared" si="9"/>
        <v>0</v>
      </c>
      <c r="P68" s="1029">
        <f t="shared" si="10"/>
        <v>0</v>
      </c>
      <c r="Q68" s="983">
        <f t="shared" si="11"/>
        <v>0</v>
      </c>
      <c r="R68" s="983">
        <v>0</v>
      </c>
      <c r="S68" s="983">
        <f t="shared" si="12"/>
        <v>0</v>
      </c>
      <c r="T68" s="983">
        <f t="shared" si="13"/>
        <v>0</v>
      </c>
      <c r="U68" s="984">
        <f t="shared" si="14"/>
        <v>0</v>
      </c>
      <c r="V68" s="984">
        <f t="shared" si="14"/>
        <v>0</v>
      </c>
    </row>
    <row r="69" spans="1:22">
      <c r="A69" s="960">
        <v>63</v>
      </c>
      <c r="B69" s="961" t="s">
        <v>154</v>
      </c>
      <c r="C69" s="1081">
        <v>0</v>
      </c>
      <c r="D69" s="966">
        <f>'Table 3 Levels 1&amp;2'!AL70</f>
        <v>4362.300753810403</v>
      </c>
      <c r="E69" s="1013">
        <f t="shared" si="2"/>
        <v>0</v>
      </c>
      <c r="F69" s="1013">
        <f>'Table 4 Level 3'!P68</f>
        <v>756.79</v>
      </c>
      <c r="G69" s="1013">
        <f t="shared" si="3"/>
        <v>0</v>
      </c>
      <c r="H69" s="989">
        <f t="shared" si="4"/>
        <v>0</v>
      </c>
      <c r="I69" s="1023">
        <f t="shared" si="5"/>
        <v>0</v>
      </c>
      <c r="J69" s="989">
        <f t="shared" si="6"/>
        <v>0</v>
      </c>
      <c r="K69" s="989">
        <v>0</v>
      </c>
      <c r="L69" s="989">
        <f t="shared" si="7"/>
        <v>0</v>
      </c>
      <c r="M69" s="989">
        <f t="shared" si="8"/>
        <v>0</v>
      </c>
      <c r="N69" s="981">
        <f>'Table 5C1A-Madison Prep'!N69</f>
        <v>6787</v>
      </c>
      <c r="O69" s="983">
        <f t="shared" si="9"/>
        <v>0</v>
      </c>
      <c r="P69" s="1029">
        <f t="shared" si="10"/>
        <v>0</v>
      </c>
      <c r="Q69" s="983">
        <f t="shared" si="11"/>
        <v>0</v>
      </c>
      <c r="R69" s="983">
        <v>0</v>
      </c>
      <c r="S69" s="983">
        <f t="shared" si="12"/>
        <v>0</v>
      </c>
      <c r="T69" s="983">
        <f t="shared" si="13"/>
        <v>0</v>
      </c>
      <c r="U69" s="984">
        <f t="shared" si="14"/>
        <v>0</v>
      </c>
      <c r="V69" s="984">
        <f t="shared" si="14"/>
        <v>0</v>
      </c>
    </row>
    <row r="70" spans="1:22">
      <c r="A70" s="960">
        <v>64</v>
      </c>
      <c r="B70" s="961" t="s">
        <v>155</v>
      </c>
      <c r="C70" s="1081">
        <v>0</v>
      </c>
      <c r="D70" s="966">
        <f>'Table 3 Levels 1&amp;2'!AL71</f>
        <v>5960.2049072003338</v>
      </c>
      <c r="E70" s="1013">
        <f t="shared" si="2"/>
        <v>0</v>
      </c>
      <c r="F70" s="1013">
        <f>'Table 4 Level 3'!P69</f>
        <v>592.66</v>
      </c>
      <c r="G70" s="1013">
        <f t="shared" si="3"/>
        <v>0</v>
      </c>
      <c r="H70" s="989">
        <f t="shared" si="4"/>
        <v>0</v>
      </c>
      <c r="I70" s="1023">
        <f t="shared" si="5"/>
        <v>0</v>
      </c>
      <c r="J70" s="989">
        <f t="shared" si="6"/>
        <v>0</v>
      </c>
      <c r="K70" s="989">
        <v>0</v>
      </c>
      <c r="L70" s="989">
        <f t="shared" si="7"/>
        <v>0</v>
      </c>
      <c r="M70" s="989">
        <f t="shared" si="8"/>
        <v>0</v>
      </c>
      <c r="N70" s="981">
        <f>'Table 5C1A-Madison Prep'!N70</f>
        <v>2901</v>
      </c>
      <c r="O70" s="983">
        <f t="shared" si="9"/>
        <v>0</v>
      </c>
      <c r="P70" s="1029">
        <f t="shared" si="10"/>
        <v>0</v>
      </c>
      <c r="Q70" s="983">
        <f t="shared" si="11"/>
        <v>0</v>
      </c>
      <c r="R70" s="983">
        <v>0</v>
      </c>
      <c r="S70" s="983">
        <f t="shared" si="12"/>
        <v>0</v>
      </c>
      <c r="T70" s="983">
        <f t="shared" si="13"/>
        <v>0</v>
      </c>
      <c r="U70" s="984">
        <f t="shared" si="14"/>
        <v>0</v>
      </c>
      <c r="V70" s="984">
        <f t="shared" si="14"/>
        <v>0</v>
      </c>
    </row>
    <row r="71" spans="1:22">
      <c r="A71" s="963">
        <v>65</v>
      </c>
      <c r="B71" s="964" t="s">
        <v>156</v>
      </c>
      <c r="C71" s="1082">
        <v>0</v>
      </c>
      <c r="D71" s="967">
        <f>'Table 3 Levels 1&amp;2'!AL72</f>
        <v>4579.2772303106676</v>
      </c>
      <c r="E71" s="1014">
        <f t="shared" si="2"/>
        <v>0</v>
      </c>
      <c r="F71" s="1014">
        <f>'Table 4 Level 3'!P70</f>
        <v>829.12</v>
      </c>
      <c r="G71" s="1014">
        <f t="shared" si="3"/>
        <v>0</v>
      </c>
      <c r="H71" s="990">
        <f t="shared" si="4"/>
        <v>0</v>
      </c>
      <c r="I71" s="1024">
        <f t="shared" si="5"/>
        <v>0</v>
      </c>
      <c r="J71" s="990">
        <f t="shared" si="6"/>
        <v>0</v>
      </c>
      <c r="K71" s="990">
        <v>0</v>
      </c>
      <c r="L71" s="990">
        <f t="shared" si="7"/>
        <v>0</v>
      </c>
      <c r="M71" s="990">
        <f t="shared" si="8"/>
        <v>0</v>
      </c>
      <c r="N71" s="986">
        <f>'Table 5C1A-Madison Prep'!N71</f>
        <v>5001</v>
      </c>
      <c r="O71" s="987">
        <f t="shared" si="9"/>
        <v>0</v>
      </c>
      <c r="P71" s="1030">
        <f t="shared" si="10"/>
        <v>0</v>
      </c>
      <c r="Q71" s="987">
        <f t="shared" si="11"/>
        <v>0</v>
      </c>
      <c r="R71" s="987">
        <v>0</v>
      </c>
      <c r="S71" s="987">
        <f t="shared" si="12"/>
        <v>0</v>
      </c>
      <c r="T71" s="987">
        <f t="shared" si="13"/>
        <v>0</v>
      </c>
      <c r="U71" s="988">
        <f t="shared" si="14"/>
        <v>0</v>
      </c>
      <c r="V71" s="988">
        <f t="shared" si="14"/>
        <v>0</v>
      </c>
    </row>
    <row r="72" spans="1:22">
      <c r="A72" s="953">
        <v>66</v>
      </c>
      <c r="B72" s="954" t="s">
        <v>157</v>
      </c>
      <c r="C72" s="1083">
        <v>0</v>
      </c>
      <c r="D72" s="968">
        <f>'Table 3 Levels 1&amp;2'!AL73</f>
        <v>6370.8108195713585</v>
      </c>
      <c r="E72" s="1015">
        <f t="shared" ref="E72:E75" si="15">C72*D72</f>
        <v>0</v>
      </c>
      <c r="F72" s="1015">
        <f>'Table 4 Level 3'!P71</f>
        <v>730.06</v>
      </c>
      <c r="G72" s="1015">
        <f t="shared" ref="G72:G75" si="16">C72*F72</f>
        <v>0</v>
      </c>
      <c r="H72" s="991">
        <f t="shared" ref="H72:H75" si="17">E72+G72</f>
        <v>0</v>
      </c>
      <c r="I72" s="1025">
        <f t="shared" ref="I72:I75" si="18">-(0.25%*H72)</f>
        <v>0</v>
      </c>
      <c r="J72" s="991">
        <f t="shared" ref="J72:J75" si="19">SUM(H72:I72)</f>
        <v>0</v>
      </c>
      <c r="K72" s="991">
        <v>0</v>
      </c>
      <c r="L72" s="991">
        <f t="shared" ref="L72:L75" si="20">SUM(J72:K72)</f>
        <v>0</v>
      </c>
      <c r="M72" s="991">
        <f t="shared" ref="M72:M75" si="21">L72/12</f>
        <v>0</v>
      </c>
      <c r="N72" s="981">
        <f>'Table 5C1A-Madison Prep'!N72</f>
        <v>3415</v>
      </c>
      <c r="O72" s="958">
        <f t="shared" ref="O72:O75" si="22">C72*N72</f>
        <v>0</v>
      </c>
      <c r="P72" s="1028">
        <f t="shared" ref="P72:P75" si="23">-(0.25%*O72)</f>
        <v>0</v>
      </c>
      <c r="Q72" s="958">
        <f t="shared" ref="Q72:Q75" si="24">SUM(O72:P72)</f>
        <v>0</v>
      </c>
      <c r="R72" s="958">
        <v>0</v>
      </c>
      <c r="S72" s="958">
        <f t="shared" ref="S72:S75" si="25">SUM(Q72:R72)</f>
        <v>0</v>
      </c>
      <c r="T72" s="958">
        <f t="shared" ref="T72:T75" si="26">S72/12</f>
        <v>0</v>
      </c>
      <c r="U72" s="959">
        <f t="shared" ref="U72:V75" si="27">L72+S72</f>
        <v>0</v>
      </c>
      <c r="V72" s="959">
        <f t="shared" si="27"/>
        <v>0</v>
      </c>
    </row>
    <row r="73" spans="1:22">
      <c r="A73" s="960">
        <v>67</v>
      </c>
      <c r="B73" s="961" t="s">
        <v>32</v>
      </c>
      <c r="C73" s="1081">
        <v>0</v>
      </c>
      <c r="D73" s="966">
        <f>'Table 3 Levels 1&amp;2'!AL74</f>
        <v>4951.6009932106244</v>
      </c>
      <c r="E73" s="1013">
        <f t="shared" si="15"/>
        <v>0</v>
      </c>
      <c r="F73" s="1013">
        <f>'Table 4 Level 3'!P72</f>
        <v>715.61</v>
      </c>
      <c r="G73" s="1013">
        <f t="shared" si="16"/>
        <v>0</v>
      </c>
      <c r="H73" s="989">
        <f t="shared" si="17"/>
        <v>0</v>
      </c>
      <c r="I73" s="1023">
        <f t="shared" si="18"/>
        <v>0</v>
      </c>
      <c r="J73" s="989">
        <f t="shared" si="19"/>
        <v>0</v>
      </c>
      <c r="K73" s="989">
        <v>0</v>
      </c>
      <c r="L73" s="989">
        <f t="shared" si="20"/>
        <v>0</v>
      </c>
      <c r="M73" s="989">
        <f t="shared" si="21"/>
        <v>0</v>
      </c>
      <c r="N73" s="981">
        <f>'Table 5C1A-Madison Prep'!N73</f>
        <v>5221</v>
      </c>
      <c r="O73" s="983">
        <f t="shared" si="22"/>
        <v>0</v>
      </c>
      <c r="P73" s="1029">
        <f t="shared" si="23"/>
        <v>0</v>
      </c>
      <c r="Q73" s="983">
        <f t="shared" si="24"/>
        <v>0</v>
      </c>
      <c r="R73" s="983">
        <v>0</v>
      </c>
      <c r="S73" s="983">
        <f t="shared" si="25"/>
        <v>0</v>
      </c>
      <c r="T73" s="983">
        <f t="shared" si="26"/>
        <v>0</v>
      </c>
      <c r="U73" s="984">
        <f t="shared" si="27"/>
        <v>0</v>
      </c>
      <c r="V73" s="984">
        <f t="shared" si="27"/>
        <v>0</v>
      </c>
    </row>
    <row r="74" spans="1:22">
      <c r="A74" s="960">
        <v>68</v>
      </c>
      <c r="B74" s="961" t="s">
        <v>30</v>
      </c>
      <c r="C74" s="1081">
        <v>0</v>
      </c>
      <c r="D74" s="966">
        <f>'Table 3 Levels 1&amp;2'!AL75</f>
        <v>6077.2398733698947</v>
      </c>
      <c r="E74" s="1013">
        <f t="shared" si="15"/>
        <v>0</v>
      </c>
      <c r="F74" s="1013">
        <f>'Table 4 Level 3'!P73</f>
        <v>798.7</v>
      </c>
      <c r="G74" s="1013">
        <f t="shared" si="16"/>
        <v>0</v>
      </c>
      <c r="H74" s="989">
        <f t="shared" si="17"/>
        <v>0</v>
      </c>
      <c r="I74" s="1023">
        <f t="shared" si="18"/>
        <v>0</v>
      </c>
      <c r="J74" s="989">
        <f t="shared" si="19"/>
        <v>0</v>
      </c>
      <c r="K74" s="989">
        <v>0</v>
      </c>
      <c r="L74" s="989">
        <f t="shared" si="20"/>
        <v>0</v>
      </c>
      <c r="M74" s="989">
        <f t="shared" si="21"/>
        <v>0</v>
      </c>
      <c r="N74" s="981">
        <f>'Table 5C1A-Madison Prep'!N74</f>
        <v>2680</v>
      </c>
      <c r="O74" s="983">
        <f t="shared" si="22"/>
        <v>0</v>
      </c>
      <c r="P74" s="1029">
        <f t="shared" si="23"/>
        <v>0</v>
      </c>
      <c r="Q74" s="983">
        <f t="shared" si="24"/>
        <v>0</v>
      </c>
      <c r="R74" s="983">
        <v>0</v>
      </c>
      <c r="S74" s="983">
        <f t="shared" si="25"/>
        <v>0</v>
      </c>
      <c r="T74" s="983">
        <f t="shared" si="26"/>
        <v>0</v>
      </c>
      <c r="U74" s="984">
        <f t="shared" si="27"/>
        <v>0</v>
      </c>
      <c r="V74" s="984">
        <f t="shared" si="27"/>
        <v>0</v>
      </c>
    </row>
    <row r="75" spans="1:22">
      <c r="A75" s="969">
        <v>69</v>
      </c>
      <c r="B75" s="970" t="s">
        <v>208</v>
      </c>
      <c r="C75" s="1084">
        <v>0</v>
      </c>
      <c r="D75" s="971">
        <f>'Table 3 Levels 1&amp;2'!AL76</f>
        <v>5585.8253106686579</v>
      </c>
      <c r="E75" s="1016">
        <f t="shared" si="15"/>
        <v>0</v>
      </c>
      <c r="F75" s="1016">
        <f>'Table 4 Level 3'!P74</f>
        <v>705.67</v>
      </c>
      <c r="G75" s="1016">
        <f t="shared" si="16"/>
        <v>0</v>
      </c>
      <c r="H75" s="992">
        <f t="shared" si="17"/>
        <v>0</v>
      </c>
      <c r="I75" s="1026">
        <f t="shared" si="18"/>
        <v>0</v>
      </c>
      <c r="J75" s="992">
        <f t="shared" si="19"/>
        <v>0</v>
      </c>
      <c r="K75" s="992">
        <v>0</v>
      </c>
      <c r="L75" s="992">
        <f t="shared" si="20"/>
        <v>0</v>
      </c>
      <c r="M75" s="992">
        <f t="shared" si="21"/>
        <v>0</v>
      </c>
      <c r="N75" s="981">
        <f>'Table 5C1A-Madison Prep'!N75</f>
        <v>3263</v>
      </c>
      <c r="O75" s="993">
        <f t="shared" si="22"/>
        <v>0</v>
      </c>
      <c r="P75" s="1031">
        <f t="shared" si="23"/>
        <v>0</v>
      </c>
      <c r="Q75" s="993">
        <f t="shared" si="24"/>
        <v>0</v>
      </c>
      <c r="R75" s="993">
        <v>0</v>
      </c>
      <c r="S75" s="993">
        <f t="shared" si="25"/>
        <v>0</v>
      </c>
      <c r="T75" s="993">
        <f t="shared" si="26"/>
        <v>0</v>
      </c>
      <c r="U75" s="994">
        <f t="shared" si="27"/>
        <v>0</v>
      </c>
      <c r="V75" s="994">
        <f t="shared" si="27"/>
        <v>0</v>
      </c>
    </row>
    <row r="76" spans="1:22" ht="13.5" thickBot="1">
      <c r="A76" s="972"/>
      <c r="B76" s="973" t="s">
        <v>158</v>
      </c>
      <c r="C76" s="974">
        <f>SUM(C7:C75)</f>
        <v>330</v>
      </c>
      <c r="D76" s="975"/>
      <c r="E76" s="1017">
        <f>SUM(E7:E75)</f>
        <v>1855395.9155138754</v>
      </c>
      <c r="F76" s="1017">
        <f>'[17]Table 4 Level 3'!P75</f>
        <v>703.90028204588873</v>
      </c>
      <c r="G76" s="1017">
        <f t="shared" ref="G76:L76" si="28">SUM(G7:G75)</f>
        <v>191166.08999999997</v>
      </c>
      <c r="H76" s="976">
        <f t="shared" si="28"/>
        <v>2046562.0055138753</v>
      </c>
      <c r="I76" s="1027">
        <f t="shared" si="28"/>
        <v>-5116.405013784688</v>
      </c>
      <c r="J76" s="976">
        <f t="shared" si="28"/>
        <v>2041445.6005000905</v>
      </c>
      <c r="K76" s="976">
        <f t="shared" si="28"/>
        <v>0</v>
      </c>
      <c r="L76" s="976">
        <f t="shared" si="28"/>
        <v>2041445.6005000905</v>
      </c>
      <c r="M76" s="976">
        <f>SUM(M7:M75)</f>
        <v>170120.46670834086</v>
      </c>
      <c r="N76" s="995">
        <f>'Table 5C1A-Madison Prep'!N76</f>
        <v>4503</v>
      </c>
      <c r="O76" s="977">
        <f t="shared" ref="O76:V76" si="29">SUM(O7:O75)</f>
        <v>838703</v>
      </c>
      <c r="P76" s="1032">
        <f t="shared" si="29"/>
        <v>-2096.7574999999997</v>
      </c>
      <c r="Q76" s="977">
        <f t="shared" si="29"/>
        <v>836606.24250000005</v>
      </c>
      <c r="R76" s="977">
        <f t="shared" si="29"/>
        <v>0</v>
      </c>
      <c r="S76" s="977">
        <f t="shared" si="29"/>
        <v>836606.24250000005</v>
      </c>
      <c r="T76" s="977">
        <f t="shared" si="29"/>
        <v>69717.186875000014</v>
      </c>
      <c r="U76" s="978">
        <f t="shared" si="29"/>
        <v>2878051.8430000902</v>
      </c>
      <c r="V76" s="978">
        <f t="shared" si="29"/>
        <v>239837.65358334087</v>
      </c>
    </row>
    <row r="77" spans="1:22" ht="13.5" thickTop="1"/>
  </sheetData>
  <mergeCells count="19">
    <mergeCell ref="U2:U4"/>
    <mergeCell ref="V2:V4"/>
    <mergeCell ref="C3:C4"/>
    <mergeCell ref="D3:D4"/>
    <mergeCell ref="E3:E4"/>
    <mergeCell ref="F3:F4"/>
    <mergeCell ref="G3:G4"/>
    <mergeCell ref="Q3:Q4"/>
    <mergeCell ref="R3:R4"/>
    <mergeCell ref="S3:S4"/>
    <mergeCell ref="H3:H4"/>
    <mergeCell ref="J3:J4"/>
    <mergeCell ref="K3:K4"/>
    <mergeCell ref="L3:L4"/>
    <mergeCell ref="M3:M4"/>
    <mergeCell ref="N3:N4"/>
    <mergeCell ref="A2:B4"/>
    <mergeCell ref="C2:M2"/>
    <mergeCell ref="N2:T2"/>
  </mergeCells>
  <pageMargins left="0.34" right="0.46" top="0.75" bottom="0.75" header="0.3" footer="0.3"/>
  <pageSetup paperSize="5" scale="60" firstPageNumber="64" orientation="portrait" useFirstPageNumber="1" r:id="rId1"/>
  <headerFooter>
    <oddHeader>&amp;L&amp;"Arial,Bold"&amp;20Table 5C1-N: FY2013-14 MFP Budget Letter 
Delta Charter School</oddHeader>
    <oddFooter>&amp;R&amp;P</oddFooter>
  </headerFooter>
  <colBreaks count="1" manualBreakCount="1">
    <brk id="13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view="pageBreakPreview" zoomScale="80" zoomScaleNormal="85" zoomScaleSheetLayoutView="80" workbookViewId="0">
      <pane xSplit="2" ySplit="3" topLeftCell="M4" activePane="bottomRight" state="frozen"/>
      <selection activeCell="A2" sqref="A2:B4"/>
      <selection pane="topRight" activeCell="A2" sqref="A2:B4"/>
      <selection pane="bottomLeft" activeCell="A2" sqref="A2:B4"/>
      <selection pane="bottomRight" activeCell="J85" sqref="J85"/>
    </sheetView>
  </sheetViews>
  <sheetFormatPr defaultColWidth="9.140625" defaultRowHeight="28.5" customHeight="1"/>
  <cols>
    <col min="1" max="1" width="3.140625" style="536" customWidth="1"/>
    <col min="2" max="2" width="36.5703125" style="536" customWidth="1"/>
    <col min="3" max="3" width="16" style="536" customWidth="1"/>
    <col min="4" max="4" width="16.28515625" style="536" customWidth="1"/>
    <col min="5" max="5" width="17.140625" style="549" customWidth="1"/>
    <col min="6" max="7" width="16.28515625" style="549" customWidth="1"/>
    <col min="8" max="9" width="17.7109375" style="536" customWidth="1"/>
    <col min="10" max="10" width="16.28515625" style="536" customWidth="1"/>
    <col min="11" max="11" width="18.5703125" style="536" customWidth="1"/>
    <col min="12" max="12" width="17.5703125" style="536" customWidth="1"/>
    <col min="13" max="13" width="17.5703125" style="536" bestFit="1" customWidth="1"/>
    <col min="14" max="14" width="15.28515625" style="536" bestFit="1" customWidth="1"/>
    <col min="15" max="15" width="12.85546875" style="536" customWidth="1"/>
    <col min="16" max="16" width="17.7109375" style="536" bestFit="1" customWidth="1"/>
    <col min="17" max="17" width="12.7109375" style="536" bestFit="1" customWidth="1"/>
    <col min="18" max="18" width="16.28515625" style="536" bestFit="1" customWidth="1"/>
    <col min="19" max="19" width="15.42578125" style="536" bestFit="1" customWidth="1"/>
    <col min="20" max="20" width="16.28515625" style="536" bestFit="1" customWidth="1"/>
    <col min="21" max="21" width="14" style="536" customWidth="1"/>
    <col min="22" max="22" width="16.42578125" style="536" customWidth="1"/>
    <col min="23" max="23" width="14.140625" style="536" customWidth="1"/>
    <col min="24" max="16384" width="9.140625" style="536"/>
  </cols>
  <sheetData>
    <row r="1" spans="1:23" ht="114.75" customHeight="1">
      <c r="A1" s="1750" t="s">
        <v>395</v>
      </c>
      <c r="B1" s="1750" t="s">
        <v>506</v>
      </c>
      <c r="C1" s="1752" t="s">
        <v>590</v>
      </c>
      <c r="D1" s="1583" t="s">
        <v>431</v>
      </c>
      <c r="E1" s="1754" t="s">
        <v>687</v>
      </c>
      <c r="F1" s="1755" t="s">
        <v>496</v>
      </c>
      <c r="G1" s="1685" t="s">
        <v>432</v>
      </c>
      <c r="H1" s="1754" t="s">
        <v>696</v>
      </c>
      <c r="I1" s="1766" t="s">
        <v>523</v>
      </c>
      <c r="J1" s="1628" t="s">
        <v>392</v>
      </c>
      <c r="K1" s="1754" t="s">
        <v>697</v>
      </c>
      <c r="L1" s="1764" t="s">
        <v>970</v>
      </c>
      <c r="M1" s="1754" t="s">
        <v>690</v>
      </c>
      <c r="N1" s="1766" t="s">
        <v>701</v>
      </c>
      <c r="O1" s="1653" t="s">
        <v>529</v>
      </c>
      <c r="P1" s="1653" t="s">
        <v>698</v>
      </c>
      <c r="Q1" s="1756" t="s">
        <v>394</v>
      </c>
      <c r="R1" s="1757" t="s">
        <v>699</v>
      </c>
      <c r="S1" s="1759" t="s">
        <v>970</v>
      </c>
      <c r="T1" s="1768" t="s">
        <v>700</v>
      </c>
      <c r="U1" s="1761" t="s">
        <v>672</v>
      </c>
      <c r="V1" s="1698" t="s">
        <v>702</v>
      </c>
      <c r="W1" s="1698" t="s">
        <v>703</v>
      </c>
    </row>
    <row r="2" spans="1:23" ht="29.25" customHeight="1">
      <c r="A2" s="1751"/>
      <c r="B2" s="1751"/>
      <c r="C2" s="1753"/>
      <c r="D2" s="1585"/>
      <c r="E2" s="1754"/>
      <c r="F2" s="1755"/>
      <c r="G2" s="1686"/>
      <c r="H2" s="1754"/>
      <c r="I2" s="1767"/>
      <c r="J2" s="1585"/>
      <c r="K2" s="1754"/>
      <c r="L2" s="1765"/>
      <c r="M2" s="1754"/>
      <c r="N2" s="1767"/>
      <c r="O2" s="1654"/>
      <c r="P2" s="1654"/>
      <c r="Q2" s="1654"/>
      <c r="R2" s="1758"/>
      <c r="S2" s="1760"/>
      <c r="T2" s="1762"/>
      <c r="U2" s="1762"/>
      <c r="V2" s="1699"/>
      <c r="W2" s="1699"/>
    </row>
    <row r="3" spans="1:23" s="540" customFormat="1" ht="18" customHeight="1">
      <c r="A3" s="537"/>
      <c r="B3" s="537"/>
      <c r="C3" s="538">
        <v>1</v>
      </c>
      <c r="D3" s="539">
        <f>C3+1</f>
        <v>2</v>
      </c>
      <c r="E3" s="539">
        <f>D3+1</f>
        <v>3</v>
      </c>
      <c r="F3" s="539">
        <f>E3+1</f>
        <v>4</v>
      </c>
      <c r="G3" s="539">
        <f>F3+1</f>
        <v>5</v>
      </c>
      <c r="H3" s="539">
        <f t="shared" ref="H3" si="0">G3+1</f>
        <v>6</v>
      </c>
      <c r="I3" s="539">
        <f t="shared" ref="I3" si="1">H3+1</f>
        <v>7</v>
      </c>
      <c r="J3" s="539">
        <f t="shared" ref="J3" si="2">I3+1</f>
        <v>8</v>
      </c>
      <c r="K3" s="539">
        <f t="shared" ref="K3" si="3">J3+1</f>
        <v>9</v>
      </c>
      <c r="L3" s="539">
        <f t="shared" ref="L3" si="4">K3+1</f>
        <v>10</v>
      </c>
      <c r="M3" s="539">
        <f t="shared" ref="M3" si="5">L3+1</f>
        <v>11</v>
      </c>
      <c r="N3" s="539">
        <f t="shared" ref="N3" si="6">M3+1</f>
        <v>12</v>
      </c>
      <c r="O3" s="539">
        <f t="shared" ref="O3" si="7">N3+1</f>
        <v>13</v>
      </c>
      <c r="P3" s="539">
        <f t="shared" ref="P3" si="8">O3+1</f>
        <v>14</v>
      </c>
      <c r="Q3" s="539">
        <f t="shared" ref="Q3" si="9">P3+1</f>
        <v>15</v>
      </c>
      <c r="R3" s="539">
        <f t="shared" ref="R3" si="10">Q3+1</f>
        <v>16</v>
      </c>
      <c r="S3" s="539">
        <f t="shared" ref="S3" si="11">R3+1</f>
        <v>17</v>
      </c>
      <c r="T3" s="539">
        <f t="shared" ref="T3" si="12">S3+1</f>
        <v>18</v>
      </c>
      <c r="U3" s="539">
        <f t="shared" ref="U3" si="13">T3+1</f>
        <v>19</v>
      </c>
      <c r="V3" s="539">
        <f t="shared" ref="V3" si="14">U3+1</f>
        <v>20</v>
      </c>
      <c r="W3" s="539">
        <f t="shared" ref="W3" si="15">V3+1</f>
        <v>21</v>
      </c>
    </row>
    <row r="4" spans="1:23" s="545" customFormat="1" ht="17.25" customHeight="1">
      <c r="A4" s="101">
        <v>1</v>
      </c>
      <c r="B4" s="797" t="s">
        <v>93</v>
      </c>
      <c r="C4" s="817">
        <f>'2-1-13 SIS'!J7</f>
        <v>14</v>
      </c>
      <c r="D4" s="818">
        <f>'Table 3 Levels 1&amp;2'!AL8*90%</f>
        <v>4137.8294406509494</v>
      </c>
      <c r="E4" s="818">
        <f>C4*D4</f>
        <v>57929.612169113294</v>
      </c>
      <c r="F4" s="819">
        <f>'Table 4 Level 3'!P6*90%</f>
        <v>699.73200000000008</v>
      </c>
      <c r="G4" s="819">
        <f>F4*C4</f>
        <v>9796.2480000000014</v>
      </c>
      <c r="H4" s="819">
        <f>E4+G4</f>
        <v>67725.860169113294</v>
      </c>
      <c r="I4" s="819">
        <f>(('Table 3 Levels 1&amp;2'!AL8-D4)+('Table 4 Level 3'!P6-F4))*C4</f>
        <v>7525.0955743459244</v>
      </c>
      <c r="J4" s="819">
        <f>ROUND(-0.25%*H4,0)</f>
        <v>-169</v>
      </c>
      <c r="K4" s="820">
        <f>H4+J4</f>
        <v>67556.860169113294</v>
      </c>
      <c r="L4" s="1519">
        <f>'[18]LAVCA Adjustment'!X5++'[16]Oct midyear LA Virtual Admy'!K4+'[19]Feb midyear adj_LA virtual '!M6</f>
        <v>-464.33756053426259</v>
      </c>
      <c r="M4" s="821">
        <f>SUM(K4:L4)</f>
        <v>67092.522608579035</v>
      </c>
      <c r="N4" s="821">
        <f>ROUND(M4/12,0)</f>
        <v>5591</v>
      </c>
      <c r="O4" s="822">
        <f>'Table 5C1A-Madison Prep'!N7*90%</f>
        <v>1951.2</v>
      </c>
      <c r="P4" s="823">
        <f>O4*C4</f>
        <v>27316.799999999999</v>
      </c>
      <c r="Q4" s="823">
        <f>ROUND(P4*-0.25%,0)</f>
        <v>-68</v>
      </c>
      <c r="R4" s="823">
        <f>SUM(P4:Q4)</f>
        <v>27248.799999999999</v>
      </c>
      <c r="S4" s="822">
        <f>'[18]LAVCA Adjustment'!AB5+'[16]Oct midyear LA Virtual Admy'!P4+'[19]Feb midyear adj_LA virtual '!S6</f>
        <v>-1824.3</v>
      </c>
      <c r="T4" s="854">
        <f>SUM(R4:S4)</f>
        <v>25424.5</v>
      </c>
      <c r="U4" s="854">
        <f>ROUND(T4/12,0)</f>
        <v>2119</v>
      </c>
      <c r="V4" s="824">
        <f>T4+M4</f>
        <v>92517.022608579035</v>
      </c>
      <c r="W4" s="824">
        <f>N4+U4</f>
        <v>7710</v>
      </c>
    </row>
    <row r="5" spans="1:23" s="545" customFormat="1" ht="17.25" customHeight="1">
      <c r="A5" s="101">
        <v>2</v>
      </c>
      <c r="B5" s="797" t="s">
        <v>94</v>
      </c>
      <c r="C5" s="825">
        <f>'2-1-13 SIS'!J8</f>
        <v>4</v>
      </c>
      <c r="D5" s="826">
        <f>'Table 3 Levels 1&amp;2'!AL9*90%</f>
        <v>5564.1882190624538</v>
      </c>
      <c r="E5" s="826">
        <f t="shared" ref="E5:E68" si="16">C5*D5</f>
        <v>22256.752876249815</v>
      </c>
      <c r="F5" s="827">
        <f>'Table 4 Level 3'!P7*90%</f>
        <v>758.08800000000008</v>
      </c>
      <c r="G5" s="827">
        <f t="shared" ref="G5:G68" si="17">F5*C5</f>
        <v>3032.3520000000003</v>
      </c>
      <c r="H5" s="827">
        <f t="shared" ref="H5:H68" si="18">E5+G5</f>
        <v>25289.104876249814</v>
      </c>
      <c r="I5" s="827">
        <f>(('Table 3 Levels 1&amp;2'!AL9-D5)+('Table 4 Level 3'!P7-F5))*C5</f>
        <v>2809.9005418055349</v>
      </c>
      <c r="J5" s="827">
        <f t="shared" ref="J5:J68" si="19">ROUND(-0.25%*H5,0)</f>
        <v>-63</v>
      </c>
      <c r="K5" s="828">
        <f t="shared" ref="K5:K68" si="20">H5+J5</f>
        <v>25226.104876249814</v>
      </c>
      <c r="L5" s="828">
        <f>'[18]LAVCA Adjustment'!X6++'[16]Oct midyear LA Virtual Admy'!K5+'[19]Feb midyear adj_LA virtual '!M7</f>
        <v>3101.4270449050746</v>
      </c>
      <c r="M5" s="829">
        <f t="shared" ref="M5:M68" si="21">SUM(K5:L5)</f>
        <v>28327.531921154889</v>
      </c>
      <c r="N5" s="829">
        <f t="shared" ref="N5:N68" si="22">ROUND(M5/12,0)</f>
        <v>2361</v>
      </c>
      <c r="O5" s="830">
        <f>'Table 5C1A-Madison Prep'!N8*90%</f>
        <v>2364.3000000000002</v>
      </c>
      <c r="P5" s="831">
        <f t="shared" ref="P5:P68" si="23">O5*C5</f>
        <v>9457.2000000000007</v>
      </c>
      <c r="Q5" s="831">
        <f t="shared" ref="Q5:Q68" si="24">ROUND(P5*-0.25%,0)</f>
        <v>-24</v>
      </c>
      <c r="R5" s="831">
        <f t="shared" ref="R5:R68" si="25">SUM(P5:Q5)</f>
        <v>9433.2000000000007</v>
      </c>
      <c r="S5" s="830">
        <f>'[18]LAVCA Adjustment'!AB6+'[16]Oct midyear LA Virtual Admy'!P5+'[19]Feb midyear adj_LA virtual '!S7</f>
        <v>1154.25</v>
      </c>
      <c r="T5" s="855">
        <f t="shared" ref="T5:T68" si="26">SUM(R5:S5)</f>
        <v>10587.45</v>
      </c>
      <c r="U5" s="855">
        <f t="shared" ref="U5:U68" si="27">ROUND(T5/12,0)</f>
        <v>882</v>
      </c>
      <c r="V5" s="832">
        <f t="shared" ref="V5:V68" si="28">T5+M5</f>
        <v>38914.981921154889</v>
      </c>
      <c r="W5" s="832">
        <f t="shared" ref="W5:W68" si="29">N5+U5</f>
        <v>3243</v>
      </c>
    </row>
    <row r="6" spans="1:23" s="545" customFormat="1" ht="17.25" customHeight="1">
      <c r="A6" s="101">
        <v>3</v>
      </c>
      <c r="B6" s="797" t="s">
        <v>95</v>
      </c>
      <c r="C6" s="825">
        <f>'2-1-13 SIS'!J9</f>
        <v>40</v>
      </c>
      <c r="D6" s="826">
        <f>'Table 3 Levels 1&amp;2'!AL10*90%</f>
        <v>3786.0396639168248</v>
      </c>
      <c r="E6" s="826">
        <f t="shared" si="16"/>
        <v>151441.58655667299</v>
      </c>
      <c r="F6" s="827">
        <f>'Table 4 Level 3'!P8*90%</f>
        <v>537.15600000000006</v>
      </c>
      <c r="G6" s="827">
        <f t="shared" si="17"/>
        <v>21486.240000000002</v>
      </c>
      <c r="H6" s="827">
        <f t="shared" si="18"/>
        <v>172927.82655667298</v>
      </c>
      <c r="I6" s="827">
        <f>(('Table 3 Levels 1&amp;2'!AL10-D6)+('Table 4 Level 3'!P8-F6))*C6</f>
        <v>19214.202950741448</v>
      </c>
      <c r="J6" s="827">
        <f t="shared" si="19"/>
        <v>-432</v>
      </c>
      <c r="K6" s="828">
        <f t="shared" si="20"/>
        <v>172495.82655667298</v>
      </c>
      <c r="L6" s="828">
        <f>'[18]LAVCA Adjustment'!X7++'[16]Oct midyear LA Virtual Admy'!K6+'[19]Feb midyear adj_LA virtual '!M8</f>
        <v>6373.8695586895901</v>
      </c>
      <c r="M6" s="829">
        <f t="shared" si="21"/>
        <v>178869.69611536257</v>
      </c>
      <c r="N6" s="829">
        <f t="shared" si="22"/>
        <v>14906</v>
      </c>
      <c r="O6" s="830">
        <f>'Table 5C1A-Madison Prep'!N9*90%</f>
        <v>4887.9000000000005</v>
      </c>
      <c r="P6" s="831">
        <f t="shared" si="23"/>
        <v>195516.00000000003</v>
      </c>
      <c r="Q6" s="831">
        <f t="shared" si="24"/>
        <v>-489</v>
      </c>
      <c r="R6" s="831">
        <f t="shared" si="25"/>
        <v>195027.00000000003</v>
      </c>
      <c r="S6" s="830">
        <f>'[18]LAVCA Adjustment'!AB7+'[16]Oct midyear LA Virtual Admy'!P6+'[19]Feb midyear adj_LA virtual '!S8</f>
        <v>6211.35</v>
      </c>
      <c r="T6" s="855">
        <f t="shared" si="26"/>
        <v>201238.35000000003</v>
      </c>
      <c r="U6" s="855">
        <f t="shared" si="27"/>
        <v>16770</v>
      </c>
      <c r="V6" s="832">
        <f t="shared" si="28"/>
        <v>380108.04611536261</v>
      </c>
      <c r="W6" s="832">
        <f t="shared" si="29"/>
        <v>31676</v>
      </c>
    </row>
    <row r="7" spans="1:23" s="545" customFormat="1" ht="17.25" customHeight="1">
      <c r="A7" s="101">
        <v>4</v>
      </c>
      <c r="B7" s="797" t="s">
        <v>96</v>
      </c>
      <c r="C7" s="825">
        <f>'2-1-13 SIS'!J10</f>
        <v>3</v>
      </c>
      <c r="D7" s="826">
        <f>'Table 3 Levels 1&amp;2'!AL11*90%</f>
        <v>5388.7494181907905</v>
      </c>
      <c r="E7" s="826">
        <f t="shared" si="16"/>
        <v>16166.248254572372</v>
      </c>
      <c r="F7" s="827">
        <f>'Table 4 Level 3'!P9*90%</f>
        <v>527.18399999999997</v>
      </c>
      <c r="G7" s="827">
        <f t="shared" si="17"/>
        <v>1581.5519999999999</v>
      </c>
      <c r="H7" s="827">
        <f t="shared" si="18"/>
        <v>17747.800254572372</v>
      </c>
      <c r="I7" s="827">
        <f>(('Table 3 Levels 1&amp;2'!AL11-D7)+('Table 4 Level 3'!P9-F7))*C7</f>
        <v>1971.9778060635954</v>
      </c>
      <c r="J7" s="827">
        <f t="shared" si="19"/>
        <v>-44</v>
      </c>
      <c r="K7" s="828">
        <f t="shared" si="20"/>
        <v>17703.800254572372</v>
      </c>
      <c r="L7" s="828">
        <f>'[18]LAVCA Adjustment'!X8++'[16]Oct midyear LA Virtual Admy'!K7+'[19]Feb midyear adj_LA virtual '!M9</f>
        <v>-23859.7613176333</v>
      </c>
      <c r="M7" s="829">
        <f t="shared" si="21"/>
        <v>-6155.9610630609277</v>
      </c>
      <c r="N7" s="829">
        <f t="shared" si="22"/>
        <v>-513</v>
      </c>
      <c r="O7" s="830">
        <f>'Table 5C1A-Madison Prep'!N10*90%</f>
        <v>2726.1</v>
      </c>
      <c r="P7" s="831">
        <f t="shared" si="23"/>
        <v>8178.2999999999993</v>
      </c>
      <c r="Q7" s="831">
        <f t="shared" si="24"/>
        <v>-20</v>
      </c>
      <c r="R7" s="831">
        <f t="shared" si="25"/>
        <v>8158.2999999999993</v>
      </c>
      <c r="S7" s="830">
        <f>'[18]LAVCA Adjustment'!AB8+'[16]Oct midyear LA Virtual Admy'!P7+'[19]Feb midyear adj_LA virtual '!S9</f>
        <v>-11502</v>
      </c>
      <c r="T7" s="855">
        <f t="shared" si="26"/>
        <v>-3343.7000000000007</v>
      </c>
      <c r="U7" s="855">
        <f t="shared" si="27"/>
        <v>-279</v>
      </c>
      <c r="V7" s="832">
        <f t="shared" si="28"/>
        <v>-9499.6610630609284</v>
      </c>
      <c r="W7" s="832">
        <f t="shared" si="29"/>
        <v>-792</v>
      </c>
    </row>
    <row r="8" spans="1:23" s="545" customFormat="1" ht="17.25" customHeight="1">
      <c r="A8" s="102">
        <v>5</v>
      </c>
      <c r="B8" s="798" t="s">
        <v>97</v>
      </c>
      <c r="C8" s="833">
        <f>'2-1-13 SIS'!J11</f>
        <v>20</v>
      </c>
      <c r="D8" s="834">
        <f>'Table 3 Levels 1&amp;2'!AL12*90%</f>
        <v>4488.1350234372067</v>
      </c>
      <c r="E8" s="834">
        <f t="shared" si="16"/>
        <v>89762.700468744137</v>
      </c>
      <c r="F8" s="835">
        <f>'Table 4 Level 3'!P10*90%</f>
        <v>500.31899999999996</v>
      </c>
      <c r="G8" s="835">
        <f t="shared" si="17"/>
        <v>10006.379999999999</v>
      </c>
      <c r="H8" s="835">
        <f t="shared" si="18"/>
        <v>99769.080468744141</v>
      </c>
      <c r="I8" s="835">
        <f>(('Table 3 Levels 1&amp;2'!AL12-D8)+('Table 4 Level 3'!P10-F8))*C8</f>
        <v>11085.453385416014</v>
      </c>
      <c r="J8" s="835">
        <f t="shared" si="19"/>
        <v>-249</v>
      </c>
      <c r="K8" s="836">
        <f t="shared" si="20"/>
        <v>99520.080468744141</v>
      </c>
      <c r="L8" s="836">
        <f>'[18]LAVCA Adjustment'!X9++'[16]Oct midyear LA Virtual Admy'!K8+'[19]Feb midyear adj_LA virtual '!M10</f>
        <v>12232.446880240954</v>
      </c>
      <c r="M8" s="837">
        <f t="shared" si="21"/>
        <v>111752.5273489851</v>
      </c>
      <c r="N8" s="837">
        <f t="shared" si="22"/>
        <v>9313</v>
      </c>
      <c r="O8" s="838">
        <f>'Table 5C1A-Madison Prep'!N11*90%</f>
        <v>1575.9</v>
      </c>
      <c r="P8" s="839">
        <f t="shared" si="23"/>
        <v>31518</v>
      </c>
      <c r="Q8" s="839">
        <f t="shared" si="24"/>
        <v>-79</v>
      </c>
      <c r="R8" s="839">
        <f t="shared" si="25"/>
        <v>31439</v>
      </c>
      <c r="S8" s="838">
        <f>'[18]LAVCA Adjustment'!AB9+'[16]Oct midyear LA Virtual Admy'!P8+'[19]Feb midyear adj_LA virtual '!S10</f>
        <v>2900.2500000000005</v>
      </c>
      <c r="T8" s="856">
        <f t="shared" si="26"/>
        <v>34339.25</v>
      </c>
      <c r="U8" s="856">
        <f t="shared" si="27"/>
        <v>2862</v>
      </c>
      <c r="V8" s="840">
        <f t="shared" si="28"/>
        <v>146091.77734898508</v>
      </c>
      <c r="W8" s="840">
        <f t="shared" si="29"/>
        <v>12175</v>
      </c>
    </row>
    <row r="9" spans="1:23" s="545" customFormat="1" ht="17.25" customHeight="1">
      <c r="A9" s="101">
        <v>6</v>
      </c>
      <c r="B9" s="797" t="s">
        <v>98</v>
      </c>
      <c r="C9" s="817">
        <f>'2-1-13 SIS'!J12</f>
        <v>17</v>
      </c>
      <c r="D9" s="818">
        <f>'Table 3 Levels 1&amp;2'!AL13*90%</f>
        <v>4871.5095063834533</v>
      </c>
      <c r="E9" s="818">
        <f t="shared" si="16"/>
        <v>82815.661608518712</v>
      </c>
      <c r="F9" s="819">
        <f>'Table 4 Level 3'!P11*90%</f>
        <v>490.9319999999999</v>
      </c>
      <c r="G9" s="819">
        <f t="shared" si="17"/>
        <v>8345.8439999999991</v>
      </c>
      <c r="H9" s="819">
        <f t="shared" si="18"/>
        <v>91161.50560851871</v>
      </c>
      <c r="I9" s="819">
        <f>(('Table 3 Levels 1&amp;2'!AL13-D9)+('Table 4 Level 3'!P11-F9))*C9</f>
        <v>10129.0561787243</v>
      </c>
      <c r="J9" s="819">
        <f t="shared" si="19"/>
        <v>-228</v>
      </c>
      <c r="K9" s="820">
        <f t="shared" si="20"/>
        <v>90933.50560851871</v>
      </c>
      <c r="L9" s="820">
        <f>'[18]LAVCA Adjustment'!X10++'[16]Oct midyear LA Virtual Admy'!K9+'[19]Feb midyear adj_LA virtual '!M11</f>
        <v>0</v>
      </c>
      <c r="M9" s="821">
        <f t="shared" si="21"/>
        <v>90933.50560851871</v>
      </c>
      <c r="N9" s="821">
        <f t="shared" si="22"/>
        <v>7578</v>
      </c>
      <c r="O9" s="822">
        <f>'Table 5C1A-Madison Prep'!N12*90%</f>
        <v>3361.5</v>
      </c>
      <c r="P9" s="823">
        <f t="shared" si="23"/>
        <v>57145.5</v>
      </c>
      <c r="Q9" s="823">
        <f t="shared" si="24"/>
        <v>-143</v>
      </c>
      <c r="R9" s="823">
        <f t="shared" si="25"/>
        <v>57002.5</v>
      </c>
      <c r="S9" s="822">
        <f>'[18]LAVCA Adjustment'!AB10+'[16]Oct midyear LA Virtual Admy'!P9+'[19]Feb midyear adj_LA virtual '!S11</f>
        <v>0</v>
      </c>
      <c r="T9" s="854">
        <f t="shared" si="26"/>
        <v>57002.5</v>
      </c>
      <c r="U9" s="854">
        <f t="shared" si="27"/>
        <v>4750</v>
      </c>
      <c r="V9" s="824">
        <f t="shared" si="28"/>
        <v>147936.00560851872</v>
      </c>
      <c r="W9" s="824">
        <f t="shared" si="29"/>
        <v>12328</v>
      </c>
    </row>
    <row r="10" spans="1:23" s="545" customFormat="1" ht="17.25" customHeight="1">
      <c r="A10" s="101">
        <v>7</v>
      </c>
      <c r="B10" s="797" t="s">
        <v>99</v>
      </c>
      <c r="C10" s="825">
        <f>'2-1-13 SIS'!J13</f>
        <v>4</v>
      </c>
      <c r="D10" s="826">
        <f>'Table 3 Levels 1&amp;2'!AL14*90%</f>
        <v>1589.4921243758511</v>
      </c>
      <c r="E10" s="826">
        <f t="shared" si="16"/>
        <v>6357.9684975034043</v>
      </c>
      <c r="F10" s="827">
        <f>'Table 4 Level 3'!P12*90%</f>
        <v>681.22799999999984</v>
      </c>
      <c r="G10" s="827">
        <f t="shared" si="17"/>
        <v>2724.9119999999994</v>
      </c>
      <c r="H10" s="827">
        <f t="shared" si="18"/>
        <v>9082.8804975034036</v>
      </c>
      <c r="I10" s="827">
        <f>(('Table 3 Levels 1&amp;2'!AL14-D10)+('Table 4 Level 3'!P12-F10))*C10</f>
        <v>1009.208944167045</v>
      </c>
      <c r="J10" s="827">
        <f t="shared" si="19"/>
        <v>-23</v>
      </c>
      <c r="K10" s="828">
        <f t="shared" si="20"/>
        <v>9059.8804975034036</v>
      </c>
      <c r="L10" s="828">
        <f>'[18]LAVCA Adjustment'!X11++'[16]Oct midyear LA Virtual Admy'!K10+'[19]Feb midyear adj_LA virtual '!M12</f>
        <v>-4959.2499758303347</v>
      </c>
      <c r="M10" s="829">
        <f t="shared" si="21"/>
        <v>4100.6305216730689</v>
      </c>
      <c r="N10" s="829">
        <f t="shared" si="22"/>
        <v>342</v>
      </c>
      <c r="O10" s="830">
        <f>'Table 5C1A-Madison Prep'!N13*90%</f>
        <v>10196.1</v>
      </c>
      <c r="P10" s="831">
        <f t="shared" si="23"/>
        <v>40784.400000000001</v>
      </c>
      <c r="Q10" s="831">
        <f t="shared" si="24"/>
        <v>-102</v>
      </c>
      <c r="R10" s="831">
        <f t="shared" si="25"/>
        <v>40682.400000000001</v>
      </c>
      <c r="S10" s="830">
        <f>'[18]LAVCA Adjustment'!AB11+'[16]Oct midyear LA Virtual Admy'!P10+'[19]Feb midyear adj_LA virtual '!S12</f>
        <v>-28370.25</v>
      </c>
      <c r="T10" s="855">
        <f t="shared" si="26"/>
        <v>12312.150000000001</v>
      </c>
      <c r="U10" s="855">
        <f t="shared" si="27"/>
        <v>1026</v>
      </c>
      <c r="V10" s="832">
        <f t="shared" si="28"/>
        <v>16412.78052167307</v>
      </c>
      <c r="W10" s="832">
        <f t="shared" si="29"/>
        <v>1368</v>
      </c>
    </row>
    <row r="11" spans="1:23" s="545" customFormat="1" ht="17.25" customHeight="1">
      <c r="A11" s="101">
        <v>8</v>
      </c>
      <c r="B11" s="797" t="s">
        <v>100</v>
      </c>
      <c r="C11" s="825">
        <f>'2-1-13 SIS'!J14</f>
        <v>35</v>
      </c>
      <c r="D11" s="826">
        <f>'Table 3 Levels 1&amp;2'!AL15*90%</f>
        <v>3860.5566246041099</v>
      </c>
      <c r="E11" s="826">
        <f t="shared" si="16"/>
        <v>135119.48186114384</v>
      </c>
      <c r="F11" s="827">
        <f>'Table 4 Level 3'!P13*90%</f>
        <v>653.18399999999997</v>
      </c>
      <c r="G11" s="827">
        <f t="shared" si="17"/>
        <v>22861.439999999999</v>
      </c>
      <c r="H11" s="827">
        <f t="shared" si="18"/>
        <v>157980.92186114384</v>
      </c>
      <c r="I11" s="827">
        <f>(('Table 3 Levels 1&amp;2'!AL15-D11)+('Table 4 Level 3'!P13-F11))*C11</f>
        <v>17553.435762349312</v>
      </c>
      <c r="J11" s="827">
        <f t="shared" si="19"/>
        <v>-395</v>
      </c>
      <c r="K11" s="828">
        <f t="shared" si="20"/>
        <v>157585.92186114384</v>
      </c>
      <c r="L11" s="828">
        <f>'[18]LAVCA Adjustment'!X12++'[16]Oct midyear LA Virtual Admy'!K11+'[19]Feb midyear adj_LA virtual '!M13</f>
        <v>0</v>
      </c>
      <c r="M11" s="829">
        <f t="shared" si="21"/>
        <v>157585.92186114384</v>
      </c>
      <c r="N11" s="829">
        <f t="shared" si="22"/>
        <v>13132</v>
      </c>
      <c r="O11" s="830">
        <f>'Table 5C1A-Madison Prep'!N14*90%</f>
        <v>3523.5</v>
      </c>
      <c r="P11" s="831">
        <f t="shared" si="23"/>
        <v>123322.5</v>
      </c>
      <c r="Q11" s="831">
        <f t="shared" si="24"/>
        <v>-308</v>
      </c>
      <c r="R11" s="831">
        <f t="shared" si="25"/>
        <v>123014.5</v>
      </c>
      <c r="S11" s="830">
        <f>'[18]LAVCA Adjustment'!AB12+'[16]Oct midyear LA Virtual Admy'!P11+'[19]Feb midyear adj_LA virtual '!S13</f>
        <v>0</v>
      </c>
      <c r="T11" s="855">
        <f t="shared" si="26"/>
        <v>123014.5</v>
      </c>
      <c r="U11" s="855">
        <f t="shared" si="27"/>
        <v>10251</v>
      </c>
      <c r="V11" s="832">
        <f t="shared" si="28"/>
        <v>280600.42186114384</v>
      </c>
      <c r="W11" s="832">
        <f t="shared" si="29"/>
        <v>23383</v>
      </c>
    </row>
    <row r="12" spans="1:23" s="545" customFormat="1" ht="17.25" customHeight="1">
      <c r="A12" s="101">
        <v>9</v>
      </c>
      <c r="B12" s="797" t="s">
        <v>101</v>
      </c>
      <c r="C12" s="825">
        <f>'2-1-13 SIS'!J15</f>
        <v>87</v>
      </c>
      <c r="D12" s="826">
        <f>'Table 3 Levels 1&amp;2'!AL16*90%</f>
        <v>3956.0539065200396</v>
      </c>
      <c r="E12" s="826">
        <f t="shared" si="16"/>
        <v>344176.68986724346</v>
      </c>
      <c r="F12" s="827">
        <f>'Table 4 Level 3'!P14*90%</f>
        <v>670.28399999999999</v>
      </c>
      <c r="G12" s="827">
        <f t="shared" si="17"/>
        <v>58314.707999999999</v>
      </c>
      <c r="H12" s="827">
        <f t="shared" si="18"/>
        <v>402491.39786724345</v>
      </c>
      <c r="I12" s="827">
        <f>(('Table 3 Levels 1&amp;2'!AL16-D12)+('Table 4 Level 3'!P14-F12))*C12</f>
        <v>44721.266429693707</v>
      </c>
      <c r="J12" s="827">
        <f t="shared" si="19"/>
        <v>-1006</v>
      </c>
      <c r="K12" s="828">
        <f t="shared" si="20"/>
        <v>401485.39786724345</v>
      </c>
      <c r="L12" s="828">
        <f>'[18]LAVCA Adjustment'!X13++'[16]Oct midyear LA Virtual Admy'!K12+'[19]Feb midyear adj_LA virtual '!M14</f>
        <v>3274.2239892255402</v>
      </c>
      <c r="M12" s="829">
        <f t="shared" si="21"/>
        <v>404759.62185646896</v>
      </c>
      <c r="N12" s="829">
        <f t="shared" si="22"/>
        <v>33730</v>
      </c>
      <c r="O12" s="830">
        <f>'Table 5C1A-Madison Prep'!N15*90%</f>
        <v>4164.3</v>
      </c>
      <c r="P12" s="831">
        <f t="shared" si="23"/>
        <v>362294.10000000003</v>
      </c>
      <c r="Q12" s="831">
        <f t="shared" si="24"/>
        <v>-906</v>
      </c>
      <c r="R12" s="831">
        <f t="shared" si="25"/>
        <v>361388.10000000003</v>
      </c>
      <c r="S12" s="830">
        <f>'[18]LAVCA Adjustment'!AB13+'[16]Oct midyear LA Virtual Admy'!P12+'[19]Feb midyear adj_LA virtual '!S14</f>
        <v>4122</v>
      </c>
      <c r="T12" s="855">
        <f t="shared" si="26"/>
        <v>365510.10000000003</v>
      </c>
      <c r="U12" s="855">
        <f t="shared" si="27"/>
        <v>30459</v>
      </c>
      <c r="V12" s="832">
        <f t="shared" si="28"/>
        <v>770269.72185646906</v>
      </c>
      <c r="W12" s="832">
        <f t="shared" si="29"/>
        <v>64189</v>
      </c>
    </row>
    <row r="13" spans="1:23" s="545" customFormat="1" ht="17.25" customHeight="1">
      <c r="A13" s="102">
        <v>10</v>
      </c>
      <c r="B13" s="798" t="s">
        <v>102</v>
      </c>
      <c r="C13" s="833">
        <f>'2-1-13 SIS'!J16</f>
        <v>57</v>
      </c>
      <c r="D13" s="834">
        <f>'Table 3 Levels 1&amp;2'!AL17*90%</f>
        <v>3828.2382557093201</v>
      </c>
      <c r="E13" s="834">
        <f t="shared" si="16"/>
        <v>218209.58057543126</v>
      </c>
      <c r="F13" s="835">
        <f>'Table 4 Level 3'!P15*90%</f>
        <v>547.2360000000001</v>
      </c>
      <c r="G13" s="835">
        <f t="shared" si="17"/>
        <v>31192.452000000005</v>
      </c>
      <c r="H13" s="835">
        <f t="shared" si="18"/>
        <v>249402.03257543128</v>
      </c>
      <c r="I13" s="835">
        <f>(('Table 3 Levels 1&amp;2'!AL17-D13)+('Table 4 Level 3'!P15-F13))*C13</f>
        <v>27711.336952825681</v>
      </c>
      <c r="J13" s="835">
        <f t="shared" si="19"/>
        <v>-624</v>
      </c>
      <c r="K13" s="836">
        <f t="shared" si="20"/>
        <v>248778.03257543128</v>
      </c>
      <c r="L13" s="836">
        <f>'[18]LAVCA Adjustment'!X14++'[16]Oct midyear LA Virtual Admy'!K13+'[19]Feb midyear adj_LA virtual '!M15</f>
        <v>-12305.027538310864</v>
      </c>
      <c r="M13" s="837">
        <f t="shared" si="21"/>
        <v>236473.00503712043</v>
      </c>
      <c r="N13" s="837">
        <f t="shared" si="22"/>
        <v>19706</v>
      </c>
      <c r="O13" s="838">
        <f>'Table 5C1A-Madison Prep'!N16*90%</f>
        <v>4040.1</v>
      </c>
      <c r="P13" s="839">
        <f t="shared" si="23"/>
        <v>230285.69999999998</v>
      </c>
      <c r="Q13" s="839">
        <f t="shared" si="24"/>
        <v>-576</v>
      </c>
      <c r="R13" s="839">
        <f t="shared" si="25"/>
        <v>229709.69999999998</v>
      </c>
      <c r="S13" s="838">
        <f>'[18]LAVCA Adjustment'!AB14+'[16]Oct midyear LA Virtual Admy'!P13+'[19]Feb midyear adj_LA virtual '!S15</f>
        <v>-11240.1</v>
      </c>
      <c r="T13" s="856">
        <f t="shared" si="26"/>
        <v>218469.59999999998</v>
      </c>
      <c r="U13" s="856">
        <f t="shared" si="27"/>
        <v>18206</v>
      </c>
      <c r="V13" s="840">
        <f t="shared" si="28"/>
        <v>454942.6050371204</v>
      </c>
      <c r="W13" s="840">
        <f t="shared" si="29"/>
        <v>37912</v>
      </c>
    </row>
    <row r="14" spans="1:23" s="545" customFormat="1" ht="17.25" customHeight="1">
      <c r="A14" s="101">
        <v>11</v>
      </c>
      <c r="B14" s="797" t="s">
        <v>103</v>
      </c>
      <c r="C14" s="817">
        <f>'2-1-13 SIS'!J17</f>
        <v>7</v>
      </c>
      <c r="D14" s="818">
        <f>'Table 3 Levels 1&amp;2'!AL18*90%</f>
        <v>6167.6224591845157</v>
      </c>
      <c r="E14" s="818">
        <f t="shared" si="16"/>
        <v>43173.357214291609</v>
      </c>
      <c r="F14" s="819">
        <f>'Table 4 Level 3'!P16*90%</f>
        <v>635.89499999999998</v>
      </c>
      <c r="G14" s="819">
        <f t="shared" si="17"/>
        <v>4451.2649999999994</v>
      </c>
      <c r="H14" s="819">
        <f t="shared" si="18"/>
        <v>47624.622214291609</v>
      </c>
      <c r="I14" s="819">
        <f>(('Table 3 Levels 1&amp;2'!AL18-D14)+('Table 4 Level 3'!P16-F14))*C14</f>
        <v>5291.6246904768414</v>
      </c>
      <c r="J14" s="819">
        <f t="shared" si="19"/>
        <v>-119</v>
      </c>
      <c r="K14" s="820">
        <f t="shared" si="20"/>
        <v>47505.622214291609</v>
      </c>
      <c r="L14" s="820">
        <f>'[18]LAVCA Adjustment'!X15++'[16]Oct midyear LA Virtual Admy'!K14+'[19]Feb midyear adj_LA virtual '!M16</f>
        <v>3318.2613741818695</v>
      </c>
      <c r="M14" s="821">
        <f t="shared" si="21"/>
        <v>50823.88358847348</v>
      </c>
      <c r="N14" s="821">
        <f t="shared" si="22"/>
        <v>4235</v>
      </c>
      <c r="O14" s="822">
        <f>'Table 5C1A-Madison Prep'!N17*90%</f>
        <v>3288.6</v>
      </c>
      <c r="P14" s="823">
        <f t="shared" si="23"/>
        <v>23020.2</v>
      </c>
      <c r="Q14" s="823">
        <f t="shared" si="24"/>
        <v>-58</v>
      </c>
      <c r="R14" s="823">
        <f t="shared" si="25"/>
        <v>22962.2</v>
      </c>
      <c r="S14" s="822">
        <f>'[18]LAVCA Adjustment'!AB15+'[16]Oct midyear LA Virtual Admy'!P14+'[19]Feb midyear adj_LA virtual '!S16</f>
        <v>1484.1000000000001</v>
      </c>
      <c r="T14" s="854">
        <f t="shared" si="26"/>
        <v>24446.3</v>
      </c>
      <c r="U14" s="854">
        <f t="shared" si="27"/>
        <v>2037</v>
      </c>
      <c r="V14" s="824">
        <f t="shared" si="28"/>
        <v>75270.183588473476</v>
      </c>
      <c r="W14" s="824">
        <f t="shared" si="29"/>
        <v>6272</v>
      </c>
    </row>
    <row r="15" spans="1:23" s="545" customFormat="1" ht="17.25" customHeight="1">
      <c r="A15" s="101">
        <v>12</v>
      </c>
      <c r="B15" s="797" t="s">
        <v>104</v>
      </c>
      <c r="C15" s="825">
        <f>'2-1-13 SIS'!J18</f>
        <v>0</v>
      </c>
      <c r="D15" s="826">
        <f>'Table 3 Levels 1&amp;2'!AL19*90%</f>
        <v>1560.515045342127</v>
      </c>
      <c r="E15" s="826">
        <f t="shared" si="16"/>
        <v>0</v>
      </c>
      <c r="F15" s="827">
        <f>'Table 4 Level 3'!P17*90%</f>
        <v>956.97899999999993</v>
      </c>
      <c r="G15" s="827">
        <f t="shared" si="17"/>
        <v>0</v>
      </c>
      <c r="H15" s="827">
        <f t="shared" si="18"/>
        <v>0</v>
      </c>
      <c r="I15" s="827">
        <f>(('Table 3 Levels 1&amp;2'!AL19-D15)+('Table 4 Level 3'!P17-F15))*C15</f>
        <v>0</v>
      </c>
      <c r="J15" s="827">
        <f t="shared" si="19"/>
        <v>0</v>
      </c>
      <c r="K15" s="828">
        <f t="shared" si="20"/>
        <v>0</v>
      </c>
      <c r="L15" s="828">
        <f>'[18]LAVCA Adjustment'!X16++'[16]Oct midyear LA Virtual Admy'!K15+'[19]Feb midyear adj_LA virtual '!M17</f>
        <v>0</v>
      </c>
      <c r="M15" s="829">
        <f t="shared" si="21"/>
        <v>0</v>
      </c>
      <c r="N15" s="829">
        <f t="shared" si="22"/>
        <v>0</v>
      </c>
      <c r="O15" s="830">
        <f>'Table 5C1A-Madison Prep'!N18*90%</f>
        <v>12390.300000000001</v>
      </c>
      <c r="P15" s="831">
        <f t="shared" si="23"/>
        <v>0</v>
      </c>
      <c r="Q15" s="831">
        <f t="shared" si="24"/>
        <v>0</v>
      </c>
      <c r="R15" s="831">
        <f t="shared" si="25"/>
        <v>0</v>
      </c>
      <c r="S15" s="830">
        <f>'[18]LAVCA Adjustment'!AB16+'[16]Oct midyear LA Virtual Admy'!P15+'[19]Feb midyear adj_LA virtual '!S17</f>
        <v>0</v>
      </c>
      <c r="T15" s="855">
        <f t="shared" si="26"/>
        <v>0</v>
      </c>
      <c r="U15" s="855">
        <f t="shared" si="27"/>
        <v>0</v>
      </c>
      <c r="V15" s="832">
        <f t="shared" si="28"/>
        <v>0</v>
      </c>
      <c r="W15" s="832">
        <f t="shared" si="29"/>
        <v>0</v>
      </c>
    </row>
    <row r="16" spans="1:23" s="545" customFormat="1" ht="17.25" customHeight="1">
      <c r="A16" s="101">
        <v>13</v>
      </c>
      <c r="B16" s="797" t="s">
        <v>105</v>
      </c>
      <c r="C16" s="825">
        <f>'2-1-13 SIS'!J19</f>
        <v>10</v>
      </c>
      <c r="D16" s="826">
        <f>'Table 3 Levels 1&amp;2'!AL20*90%</f>
        <v>5628.7114773957792</v>
      </c>
      <c r="E16" s="826">
        <f t="shared" si="16"/>
        <v>56287.114773957794</v>
      </c>
      <c r="F16" s="827">
        <f>'Table 4 Level 3'!P18*90%</f>
        <v>674.48700000000008</v>
      </c>
      <c r="G16" s="827">
        <f t="shared" si="17"/>
        <v>6744.8700000000008</v>
      </c>
      <c r="H16" s="827">
        <f t="shared" si="18"/>
        <v>63031.984773957796</v>
      </c>
      <c r="I16" s="827">
        <f>(('Table 3 Levels 1&amp;2'!AL20-D16)+('Table 4 Level 3'!P18-F16))*C16</f>
        <v>7003.5538637730842</v>
      </c>
      <c r="J16" s="827">
        <f t="shared" si="19"/>
        <v>-158</v>
      </c>
      <c r="K16" s="828">
        <f t="shared" si="20"/>
        <v>62873.984773957796</v>
      </c>
      <c r="L16" s="828">
        <f>'[18]LAVCA Adjustment'!X17++'[16]Oct midyear LA Virtual Admy'!K16+'[19]Feb midyear adj_LA virtual '!M18</f>
        <v>-41275.491976127945</v>
      </c>
      <c r="M16" s="829">
        <f t="shared" si="21"/>
        <v>21598.492797829851</v>
      </c>
      <c r="N16" s="829">
        <f t="shared" si="22"/>
        <v>1800</v>
      </c>
      <c r="O16" s="830">
        <f>'Table 5C1A-Madison Prep'!N19*90%</f>
        <v>2272.5</v>
      </c>
      <c r="P16" s="831">
        <f t="shared" si="23"/>
        <v>22725</v>
      </c>
      <c r="Q16" s="831">
        <f t="shared" si="24"/>
        <v>-57</v>
      </c>
      <c r="R16" s="831">
        <f t="shared" si="25"/>
        <v>22668</v>
      </c>
      <c r="S16" s="830">
        <f>'[18]LAVCA Adjustment'!AB17+'[16]Oct midyear LA Virtual Admy'!P16+'[19]Feb midyear adj_LA virtual '!S18</f>
        <v>-15164.100000000002</v>
      </c>
      <c r="T16" s="855">
        <f t="shared" si="26"/>
        <v>7503.8999999999978</v>
      </c>
      <c r="U16" s="855">
        <f t="shared" si="27"/>
        <v>625</v>
      </c>
      <c r="V16" s="832">
        <f t="shared" si="28"/>
        <v>29102.392797829849</v>
      </c>
      <c r="W16" s="832">
        <f t="shared" si="29"/>
        <v>2425</v>
      </c>
    </row>
    <row r="17" spans="1:23" s="545" customFormat="1" ht="17.25" customHeight="1">
      <c r="A17" s="101">
        <v>14</v>
      </c>
      <c r="B17" s="797" t="s">
        <v>106</v>
      </c>
      <c r="C17" s="825">
        <f>'2-1-13 SIS'!J20</f>
        <v>1</v>
      </c>
      <c r="D17" s="826">
        <f>'Table 3 Levels 1&amp;2'!AL21*90%</f>
        <v>4840.1268694690916</v>
      </c>
      <c r="E17" s="826">
        <f t="shared" si="16"/>
        <v>4840.1268694690916</v>
      </c>
      <c r="F17" s="827">
        <f>'Table 4 Level 3'!P19*90%</f>
        <v>728.98199999999997</v>
      </c>
      <c r="G17" s="827">
        <f t="shared" si="17"/>
        <v>728.98199999999997</v>
      </c>
      <c r="H17" s="827">
        <f t="shared" si="18"/>
        <v>5569.1088694690916</v>
      </c>
      <c r="I17" s="827">
        <f>(('Table 3 Levels 1&amp;2'!AL21-D17)+('Table 4 Level 3'!P19-F17))*C17</f>
        <v>618.78987438545425</v>
      </c>
      <c r="J17" s="827">
        <f t="shared" si="19"/>
        <v>-14</v>
      </c>
      <c r="K17" s="828">
        <f t="shared" si="20"/>
        <v>5555.1088694690916</v>
      </c>
      <c r="L17" s="828">
        <f>'[18]LAVCA Adjustment'!X18++'[16]Oct midyear LA Virtual Admy'!K17+'[19]Feb midyear adj_LA virtual '!M19</f>
        <v>-2951.5311575333399</v>
      </c>
      <c r="M17" s="829">
        <f t="shared" si="21"/>
        <v>2603.5777119357517</v>
      </c>
      <c r="N17" s="829">
        <f t="shared" si="22"/>
        <v>217</v>
      </c>
      <c r="O17" s="830">
        <f>'Table 5C1A-Madison Prep'!N20*90%</f>
        <v>3589.2000000000003</v>
      </c>
      <c r="P17" s="831">
        <f t="shared" si="23"/>
        <v>3589.2000000000003</v>
      </c>
      <c r="Q17" s="831">
        <f t="shared" si="24"/>
        <v>-9</v>
      </c>
      <c r="R17" s="831">
        <f t="shared" si="25"/>
        <v>3580.2000000000003</v>
      </c>
      <c r="S17" s="830">
        <f>'[18]LAVCA Adjustment'!AB18+'[16]Oct midyear LA Virtual Admy'!P17+'[19]Feb midyear adj_LA virtual '!S19</f>
        <v>-1508.4</v>
      </c>
      <c r="T17" s="855">
        <f t="shared" si="26"/>
        <v>2071.8000000000002</v>
      </c>
      <c r="U17" s="855">
        <f t="shared" si="27"/>
        <v>173</v>
      </c>
      <c r="V17" s="832">
        <f t="shared" si="28"/>
        <v>4675.3777119357519</v>
      </c>
      <c r="W17" s="832">
        <f t="shared" si="29"/>
        <v>390</v>
      </c>
    </row>
    <row r="18" spans="1:23" s="545" customFormat="1" ht="17.25" customHeight="1">
      <c r="A18" s="102">
        <v>15</v>
      </c>
      <c r="B18" s="798" t="s">
        <v>107</v>
      </c>
      <c r="C18" s="833">
        <f>'2-1-13 SIS'!J21</f>
        <v>4</v>
      </c>
      <c r="D18" s="834">
        <f>'Table 3 Levels 1&amp;2'!AL22*90%</f>
        <v>4974.9886077856072</v>
      </c>
      <c r="E18" s="834">
        <f t="shared" si="16"/>
        <v>19899.954431142429</v>
      </c>
      <c r="F18" s="835">
        <f>'Table 4 Level 3'!P20*90%</f>
        <v>498.41999999999996</v>
      </c>
      <c r="G18" s="835">
        <f t="shared" si="17"/>
        <v>1993.6799999999998</v>
      </c>
      <c r="H18" s="835">
        <f t="shared" si="18"/>
        <v>21893.634431142429</v>
      </c>
      <c r="I18" s="835">
        <f>(('Table 3 Levels 1&amp;2'!AL22-D18)+('Table 4 Level 3'!P20-F18))*C18</f>
        <v>2432.6260479047155</v>
      </c>
      <c r="J18" s="835">
        <f t="shared" si="19"/>
        <v>-55</v>
      </c>
      <c r="K18" s="836">
        <f t="shared" si="20"/>
        <v>21838.634431142429</v>
      </c>
      <c r="L18" s="836">
        <f>'[18]LAVCA Adjustment'!X19++'[16]Oct midyear LA Virtual Admy'!K18+'[19]Feb midyear adj_LA virtual '!M20</f>
        <v>-5357.1392769100767</v>
      </c>
      <c r="M18" s="837">
        <f t="shared" si="21"/>
        <v>16481.495154232354</v>
      </c>
      <c r="N18" s="837">
        <f t="shared" si="22"/>
        <v>1373</v>
      </c>
      <c r="O18" s="838">
        <f>'Table 5C1A-Madison Prep'!N21*90%</f>
        <v>2289.6</v>
      </c>
      <c r="P18" s="839">
        <f t="shared" si="23"/>
        <v>9158.4</v>
      </c>
      <c r="Q18" s="839">
        <f t="shared" si="24"/>
        <v>-23</v>
      </c>
      <c r="R18" s="839">
        <f t="shared" si="25"/>
        <v>9135.4</v>
      </c>
      <c r="S18" s="838">
        <f>'[18]LAVCA Adjustment'!AB19+'[16]Oct midyear LA Virtual Admy'!P18+'[19]Feb midyear adj_LA virtual '!S20</f>
        <v>-2295</v>
      </c>
      <c r="T18" s="856">
        <f t="shared" si="26"/>
        <v>6840.4</v>
      </c>
      <c r="U18" s="856">
        <f t="shared" si="27"/>
        <v>570</v>
      </c>
      <c r="V18" s="840">
        <f t="shared" si="28"/>
        <v>23321.895154232356</v>
      </c>
      <c r="W18" s="840">
        <f t="shared" si="29"/>
        <v>1943</v>
      </c>
    </row>
    <row r="19" spans="1:23" s="545" customFormat="1" ht="17.25" customHeight="1">
      <c r="A19" s="101">
        <v>16</v>
      </c>
      <c r="B19" s="797" t="s">
        <v>108</v>
      </c>
      <c r="C19" s="817">
        <f>'2-1-13 SIS'!J22</f>
        <v>11</v>
      </c>
      <c r="D19" s="818">
        <f>'Table 3 Levels 1&amp;2'!AL23*90%</f>
        <v>1377.3310960839726</v>
      </c>
      <c r="E19" s="818">
        <f t="shared" si="16"/>
        <v>15150.642056923698</v>
      </c>
      <c r="F19" s="819">
        <f>'Table 4 Level 3'!P21*90%</f>
        <v>618.05700000000002</v>
      </c>
      <c r="G19" s="819">
        <f t="shared" si="17"/>
        <v>6798.6270000000004</v>
      </c>
      <c r="H19" s="819">
        <f t="shared" si="18"/>
        <v>21949.269056923698</v>
      </c>
      <c r="I19" s="819">
        <f>(('Table 3 Levels 1&amp;2'!AL23-D19)+('Table 4 Level 3'!P21-F19))*C19</f>
        <v>2438.8076729915224</v>
      </c>
      <c r="J19" s="819">
        <f t="shared" si="19"/>
        <v>-55</v>
      </c>
      <c r="K19" s="820">
        <f t="shared" si="20"/>
        <v>21894.269056923698</v>
      </c>
      <c r="L19" s="820">
        <f>'[18]LAVCA Adjustment'!X20++'[16]Oct midyear LA Virtual Admy'!K19+'[19]Feb midyear adj_LA virtual '!M21</f>
        <v>0</v>
      </c>
      <c r="M19" s="821">
        <f t="shared" si="21"/>
        <v>21894.269056923698</v>
      </c>
      <c r="N19" s="821">
        <f t="shared" si="22"/>
        <v>1825</v>
      </c>
      <c r="O19" s="822">
        <f>'Table 5C1A-Madison Prep'!N22*90%</f>
        <v>10918.800000000001</v>
      </c>
      <c r="P19" s="823">
        <f t="shared" si="23"/>
        <v>120106.80000000002</v>
      </c>
      <c r="Q19" s="823">
        <f t="shared" si="24"/>
        <v>-300</v>
      </c>
      <c r="R19" s="823">
        <f t="shared" si="25"/>
        <v>119806.80000000002</v>
      </c>
      <c r="S19" s="822">
        <f>'[18]LAVCA Adjustment'!AB20+'[16]Oct midyear LA Virtual Admy'!P19+'[19]Feb midyear adj_LA virtual '!S21</f>
        <v>0</v>
      </c>
      <c r="T19" s="854">
        <f t="shared" si="26"/>
        <v>119806.80000000002</v>
      </c>
      <c r="U19" s="854">
        <f t="shared" si="27"/>
        <v>9984</v>
      </c>
      <c r="V19" s="824">
        <f t="shared" si="28"/>
        <v>141701.0690569237</v>
      </c>
      <c r="W19" s="824">
        <f t="shared" si="29"/>
        <v>11809</v>
      </c>
    </row>
    <row r="20" spans="1:23" s="545" customFormat="1" ht="17.25" customHeight="1">
      <c r="A20" s="101">
        <v>17</v>
      </c>
      <c r="B20" s="797" t="s">
        <v>109</v>
      </c>
      <c r="C20" s="825">
        <f>'2-1-13 SIS'!J23</f>
        <v>69</v>
      </c>
      <c r="D20" s="826">
        <f>'Table 3 Levels 1&amp;2'!AL24*90%</f>
        <v>2981.7599681716024</v>
      </c>
      <c r="E20" s="826">
        <f t="shared" si="16"/>
        <v>205741.43780384056</v>
      </c>
      <c r="F20" s="827">
        <f>'Table 5B2_RSD_LA'!F7*90%</f>
        <v>721.32986175126121</v>
      </c>
      <c r="G20" s="827">
        <f t="shared" si="17"/>
        <v>49771.760460837024</v>
      </c>
      <c r="H20" s="827">
        <f t="shared" si="18"/>
        <v>255513.19826467757</v>
      </c>
      <c r="I20" s="827">
        <f>(('Table 3 Levels 1&amp;2'!AL24-D20)+('Table 4 Level 3'!P22-F20))*C20</f>
        <v>28390.355362741957</v>
      </c>
      <c r="J20" s="827">
        <f t="shared" si="19"/>
        <v>-639</v>
      </c>
      <c r="K20" s="828">
        <f t="shared" si="20"/>
        <v>254874.19826467757</v>
      </c>
      <c r="L20" s="828">
        <f>'[18]LAVCA Adjustment'!X21++'[16]Oct midyear LA Virtual Admy'!K20+'[19]Feb midyear adj_LA virtual '!M22</f>
        <v>13442.894428745374</v>
      </c>
      <c r="M20" s="829">
        <f t="shared" si="21"/>
        <v>268317.09269342292</v>
      </c>
      <c r="N20" s="829">
        <f t="shared" si="22"/>
        <v>22360</v>
      </c>
      <c r="O20" s="830">
        <f>'Table 5C1A-Madison Prep'!N23*90%</f>
        <v>6087.6</v>
      </c>
      <c r="P20" s="831">
        <f t="shared" si="23"/>
        <v>420044.4</v>
      </c>
      <c r="Q20" s="831">
        <f t="shared" si="24"/>
        <v>-1050</v>
      </c>
      <c r="R20" s="831">
        <f t="shared" si="25"/>
        <v>418994.4</v>
      </c>
      <c r="S20" s="830">
        <f>'[18]LAVCA Adjustment'!AB21+'[16]Oct midyear LA Virtual Admy'!P20+'[19]Feb midyear adj_LA virtual '!S22</f>
        <v>19674.900000000001</v>
      </c>
      <c r="T20" s="855">
        <f t="shared" si="26"/>
        <v>438669.30000000005</v>
      </c>
      <c r="U20" s="855">
        <f t="shared" si="27"/>
        <v>36556</v>
      </c>
      <c r="V20" s="832">
        <f t="shared" si="28"/>
        <v>706986.39269342297</v>
      </c>
      <c r="W20" s="832">
        <f t="shared" si="29"/>
        <v>58916</v>
      </c>
    </row>
    <row r="21" spans="1:23" s="545" customFormat="1" ht="17.25" customHeight="1">
      <c r="A21" s="101">
        <v>18</v>
      </c>
      <c r="B21" s="797" t="s">
        <v>110</v>
      </c>
      <c r="C21" s="825">
        <f>'2-1-13 SIS'!J24</f>
        <v>1</v>
      </c>
      <c r="D21" s="826">
        <f>'Table 3 Levels 1&amp;2'!AL25*90%</f>
        <v>5390.221670356912</v>
      </c>
      <c r="E21" s="826">
        <f t="shared" si="16"/>
        <v>5390.221670356912</v>
      </c>
      <c r="F21" s="827">
        <f>'Table 4 Level 3'!P23*90%</f>
        <v>761.3549999999999</v>
      </c>
      <c r="G21" s="827">
        <f t="shared" si="17"/>
        <v>761.3549999999999</v>
      </c>
      <c r="H21" s="827">
        <f t="shared" si="18"/>
        <v>6151.5766703569116</v>
      </c>
      <c r="I21" s="827">
        <f>(('Table 3 Levels 1&amp;2'!AL25-D21)+('Table 4 Level 3'!P23-F21))*C21</f>
        <v>683.5085189285453</v>
      </c>
      <c r="J21" s="827">
        <f t="shared" si="19"/>
        <v>-15</v>
      </c>
      <c r="K21" s="828">
        <f t="shared" si="20"/>
        <v>6136.5766703569116</v>
      </c>
      <c r="L21" s="828">
        <f>'[18]LAVCA Adjustment'!X22++'[16]Oct midyear LA Virtual Admy'!K21+'[19]Feb midyear adj_LA virtual '!M23</f>
        <v>0</v>
      </c>
      <c r="M21" s="829">
        <f t="shared" si="21"/>
        <v>6136.5766703569116</v>
      </c>
      <c r="N21" s="829">
        <f t="shared" si="22"/>
        <v>511</v>
      </c>
      <c r="O21" s="830">
        <f>'Table 5C1A-Madison Prep'!N24*90%</f>
        <v>2632.5</v>
      </c>
      <c r="P21" s="831">
        <f t="shared" si="23"/>
        <v>2632.5</v>
      </c>
      <c r="Q21" s="831">
        <f t="shared" si="24"/>
        <v>-7</v>
      </c>
      <c r="R21" s="831">
        <f t="shared" si="25"/>
        <v>2625.5</v>
      </c>
      <c r="S21" s="830">
        <f>'[18]LAVCA Adjustment'!AB22+'[16]Oct midyear LA Virtual Admy'!P21+'[19]Feb midyear adj_LA virtual '!S23</f>
        <v>0</v>
      </c>
      <c r="T21" s="855">
        <f t="shared" si="26"/>
        <v>2625.5</v>
      </c>
      <c r="U21" s="855">
        <f t="shared" si="27"/>
        <v>219</v>
      </c>
      <c r="V21" s="832">
        <f t="shared" si="28"/>
        <v>8762.0766703569116</v>
      </c>
      <c r="W21" s="832">
        <f t="shared" si="29"/>
        <v>730</v>
      </c>
    </row>
    <row r="22" spans="1:23" s="545" customFormat="1" ht="17.25" customHeight="1">
      <c r="A22" s="101">
        <v>19</v>
      </c>
      <c r="B22" s="797" t="s">
        <v>111</v>
      </c>
      <c r="C22" s="825">
        <f>'2-1-13 SIS'!J25</f>
        <v>5</v>
      </c>
      <c r="D22" s="826">
        <f>'Table 3 Levels 1&amp;2'!AL26*90%</f>
        <v>4784.3022059737232</v>
      </c>
      <c r="E22" s="826">
        <f t="shared" si="16"/>
        <v>23921.511029868616</v>
      </c>
      <c r="F22" s="827">
        <f>'Table 4 Level 3'!P24*90%</f>
        <v>814.88699999999994</v>
      </c>
      <c r="G22" s="827">
        <f t="shared" si="17"/>
        <v>4074.4349999999995</v>
      </c>
      <c r="H22" s="827">
        <f t="shared" si="18"/>
        <v>27995.946029868617</v>
      </c>
      <c r="I22" s="827">
        <f>(('Table 3 Levels 1&amp;2'!AL26-D22)+('Table 4 Level 3'!P24-F22))*C22</f>
        <v>3110.6606699854019</v>
      </c>
      <c r="J22" s="827">
        <f t="shared" si="19"/>
        <v>-70</v>
      </c>
      <c r="K22" s="828">
        <f t="shared" si="20"/>
        <v>27925.946029868617</v>
      </c>
      <c r="L22" s="828">
        <f>'[18]LAVCA Adjustment'!X23++'[16]Oct midyear LA Virtual Admy'!K22+'[19]Feb midyear adj_LA virtual '!M24</f>
        <v>2749.3168264032684</v>
      </c>
      <c r="M22" s="829">
        <f t="shared" si="21"/>
        <v>30675.262856271886</v>
      </c>
      <c r="N22" s="829">
        <f t="shared" si="22"/>
        <v>2556</v>
      </c>
      <c r="O22" s="830">
        <f>'Table 5C1A-Madison Prep'!N25*90%</f>
        <v>2313</v>
      </c>
      <c r="P22" s="831">
        <f t="shared" si="23"/>
        <v>11565</v>
      </c>
      <c r="Q22" s="831">
        <f t="shared" si="24"/>
        <v>-29</v>
      </c>
      <c r="R22" s="831">
        <f t="shared" si="25"/>
        <v>11536</v>
      </c>
      <c r="S22" s="830">
        <f>'[18]LAVCA Adjustment'!AB23+'[16]Oct midyear LA Virtual Admy'!P22+'[19]Feb midyear adj_LA virtual '!S24</f>
        <v>1011.15</v>
      </c>
      <c r="T22" s="855">
        <f t="shared" si="26"/>
        <v>12547.15</v>
      </c>
      <c r="U22" s="855">
        <f t="shared" si="27"/>
        <v>1046</v>
      </c>
      <c r="V22" s="832">
        <f t="shared" si="28"/>
        <v>43222.412856271883</v>
      </c>
      <c r="W22" s="832">
        <f t="shared" si="29"/>
        <v>3602</v>
      </c>
    </row>
    <row r="23" spans="1:23" s="545" customFormat="1" ht="17.25" customHeight="1">
      <c r="A23" s="102">
        <v>20</v>
      </c>
      <c r="B23" s="798" t="s">
        <v>112</v>
      </c>
      <c r="C23" s="833">
        <f>'2-1-13 SIS'!J26</f>
        <v>6</v>
      </c>
      <c r="D23" s="834">
        <f>'Table 3 Levels 1&amp;2'!AL27*90%</f>
        <v>4878.1838627285251</v>
      </c>
      <c r="E23" s="834">
        <f t="shared" si="16"/>
        <v>29269.103176371151</v>
      </c>
      <c r="F23" s="835">
        <f>'Table 4 Level 3'!P25*90%</f>
        <v>527.553</v>
      </c>
      <c r="G23" s="835">
        <f t="shared" si="17"/>
        <v>3165.3180000000002</v>
      </c>
      <c r="H23" s="835">
        <f t="shared" si="18"/>
        <v>32434.42117637115</v>
      </c>
      <c r="I23" s="835">
        <f>(('Table 3 Levels 1&amp;2'!AL27-D23)+('Table 4 Level 3'!P25-F23))*C23</f>
        <v>3603.8245751523486</v>
      </c>
      <c r="J23" s="835">
        <f t="shared" si="19"/>
        <v>-81</v>
      </c>
      <c r="K23" s="836">
        <f t="shared" si="20"/>
        <v>32353.42117637115</v>
      </c>
      <c r="L23" s="836">
        <f>'[18]LAVCA Adjustment'!X24++'[16]Oct midyear LA Virtual Admy'!K23+'[19]Feb midyear adj_LA virtual '!M25</f>
        <v>2710.9645208720476</v>
      </c>
      <c r="M23" s="837">
        <f t="shared" si="21"/>
        <v>35064.385697243197</v>
      </c>
      <c r="N23" s="837">
        <f t="shared" si="22"/>
        <v>2922</v>
      </c>
      <c r="O23" s="838">
        <f>'Table 5C1A-Madison Prep'!N26*90%</f>
        <v>2178</v>
      </c>
      <c r="P23" s="839">
        <f t="shared" si="23"/>
        <v>13068</v>
      </c>
      <c r="Q23" s="839">
        <f t="shared" si="24"/>
        <v>-33</v>
      </c>
      <c r="R23" s="839">
        <f t="shared" si="25"/>
        <v>13035</v>
      </c>
      <c r="S23" s="838">
        <f>'[18]LAVCA Adjustment'!AB24+'[16]Oct midyear LA Virtual Admy'!P23+'[19]Feb midyear adj_LA virtual '!S25</f>
        <v>971.1</v>
      </c>
      <c r="T23" s="856">
        <f t="shared" si="26"/>
        <v>14006.1</v>
      </c>
      <c r="U23" s="856">
        <f t="shared" si="27"/>
        <v>1167</v>
      </c>
      <c r="V23" s="840">
        <f t="shared" si="28"/>
        <v>49070.485697243195</v>
      </c>
      <c r="W23" s="840">
        <f t="shared" si="29"/>
        <v>4089</v>
      </c>
    </row>
    <row r="24" spans="1:23" s="545" customFormat="1" ht="17.25" customHeight="1">
      <c r="A24" s="101">
        <v>21</v>
      </c>
      <c r="B24" s="797" t="s">
        <v>113</v>
      </c>
      <c r="C24" s="817">
        <f>'2-1-13 SIS'!J27</f>
        <v>3</v>
      </c>
      <c r="D24" s="818">
        <f>'Table 3 Levels 1&amp;2'!AL28*90%</f>
        <v>5152.0864424651163</v>
      </c>
      <c r="E24" s="818">
        <f t="shared" si="16"/>
        <v>15456.25932739535</v>
      </c>
      <c r="F24" s="819">
        <f>'Table 4 Level 3'!P26*90%</f>
        <v>549.31500000000005</v>
      </c>
      <c r="G24" s="819">
        <f t="shared" si="17"/>
        <v>1647.9450000000002</v>
      </c>
      <c r="H24" s="819">
        <f t="shared" si="18"/>
        <v>17104.20432739535</v>
      </c>
      <c r="I24" s="819">
        <f>(('Table 3 Levels 1&amp;2'!AL28-D24)+('Table 4 Level 3'!P26-F24))*C24</f>
        <v>1900.4671474883712</v>
      </c>
      <c r="J24" s="819">
        <f t="shared" si="19"/>
        <v>-43</v>
      </c>
      <c r="K24" s="820">
        <f t="shared" si="20"/>
        <v>17061.20432739535</v>
      </c>
      <c r="L24" s="820">
        <f>'[18]LAVCA Adjustment'!X25++'[16]Oct midyear LA Virtual Admy'!K24+'[19]Feb midyear adj_LA virtual '!M26</f>
        <v>8409.7656201337013</v>
      </c>
      <c r="M24" s="821">
        <f t="shared" si="21"/>
        <v>25470.969947529051</v>
      </c>
      <c r="N24" s="821">
        <f t="shared" si="22"/>
        <v>2123</v>
      </c>
      <c r="O24" s="822">
        <f>'Table 5C1A-Madison Prep'!N27*90%</f>
        <v>2038.5</v>
      </c>
      <c r="P24" s="823">
        <f t="shared" si="23"/>
        <v>6115.5</v>
      </c>
      <c r="Q24" s="823">
        <f t="shared" si="24"/>
        <v>-15</v>
      </c>
      <c r="R24" s="823">
        <f t="shared" si="25"/>
        <v>6100.5</v>
      </c>
      <c r="S24" s="822">
        <f>'[18]LAVCA Adjustment'!AB25+'[16]Oct midyear LA Virtual Admy'!P24+'[19]Feb midyear adj_LA virtual '!S26</f>
        <v>2789.1000000000004</v>
      </c>
      <c r="T24" s="854">
        <f t="shared" si="26"/>
        <v>8889.6</v>
      </c>
      <c r="U24" s="854">
        <f t="shared" si="27"/>
        <v>741</v>
      </c>
      <c r="V24" s="824">
        <f t="shared" si="28"/>
        <v>34360.569947529053</v>
      </c>
      <c r="W24" s="824">
        <f t="shared" si="29"/>
        <v>2864</v>
      </c>
    </row>
    <row r="25" spans="1:23" s="545" customFormat="1" ht="17.25" customHeight="1">
      <c r="A25" s="101">
        <v>22</v>
      </c>
      <c r="B25" s="797" t="s">
        <v>114</v>
      </c>
      <c r="C25" s="825">
        <f>'2-1-13 SIS'!J28</f>
        <v>2</v>
      </c>
      <c r="D25" s="826">
        <f>'Table 3 Levels 1&amp;2'!AL29*90%</f>
        <v>5582.9640391850471</v>
      </c>
      <c r="E25" s="826">
        <f t="shared" si="16"/>
        <v>11165.928078370094</v>
      </c>
      <c r="F25" s="827">
        <f>'Table 4 Level 3'!P27*90%</f>
        <v>446.72400000000005</v>
      </c>
      <c r="G25" s="827">
        <f t="shared" si="17"/>
        <v>893.44800000000009</v>
      </c>
      <c r="H25" s="827">
        <f t="shared" si="18"/>
        <v>12059.376078370095</v>
      </c>
      <c r="I25" s="827">
        <f>(('Table 3 Levels 1&amp;2'!AL29-D25)+('Table 4 Level 3'!P27-F25))*C25</f>
        <v>1339.930675374454</v>
      </c>
      <c r="J25" s="827">
        <f t="shared" si="19"/>
        <v>-30</v>
      </c>
      <c r="K25" s="828">
        <f t="shared" si="20"/>
        <v>12029.376078370095</v>
      </c>
      <c r="L25" s="828">
        <f>'[18]LAVCA Adjustment'!X26++'[16]Oct midyear LA Virtual Admy'!K25+'[19]Feb midyear adj_LA virtual '!M27</f>
        <v>0</v>
      </c>
      <c r="M25" s="829">
        <f t="shared" si="21"/>
        <v>12029.376078370095</v>
      </c>
      <c r="N25" s="829">
        <f t="shared" si="22"/>
        <v>1002</v>
      </c>
      <c r="O25" s="830">
        <f>'Table 5C1A-Madison Prep'!N28*90%</f>
        <v>1294.2</v>
      </c>
      <c r="P25" s="831">
        <f t="shared" si="23"/>
        <v>2588.4</v>
      </c>
      <c r="Q25" s="831">
        <f t="shared" si="24"/>
        <v>-6</v>
      </c>
      <c r="R25" s="831">
        <f t="shared" si="25"/>
        <v>2582.4</v>
      </c>
      <c r="S25" s="830">
        <f>'[18]LAVCA Adjustment'!AB26+'[16]Oct midyear LA Virtual Admy'!P25+'[19]Feb midyear adj_LA virtual '!S27</f>
        <v>0</v>
      </c>
      <c r="T25" s="855">
        <f t="shared" si="26"/>
        <v>2582.4</v>
      </c>
      <c r="U25" s="855">
        <f t="shared" si="27"/>
        <v>215</v>
      </c>
      <c r="V25" s="832">
        <f t="shared" si="28"/>
        <v>14611.776078370094</v>
      </c>
      <c r="W25" s="832">
        <f t="shared" si="29"/>
        <v>1217</v>
      </c>
    </row>
    <row r="26" spans="1:23" s="545" customFormat="1" ht="17.25" customHeight="1">
      <c r="A26" s="101">
        <v>23</v>
      </c>
      <c r="B26" s="797" t="s">
        <v>115</v>
      </c>
      <c r="C26" s="825">
        <f>'2-1-13 SIS'!J29</f>
        <v>12</v>
      </c>
      <c r="D26" s="826">
        <f>'Table 3 Levels 1&amp;2'!AL30*90%</f>
        <v>4361.4722241060917</v>
      </c>
      <c r="E26" s="826">
        <f t="shared" si="16"/>
        <v>52337.666689273101</v>
      </c>
      <c r="F26" s="827">
        <f>'Table 4 Level 3'!P28*90%</f>
        <v>619.72200000000009</v>
      </c>
      <c r="G26" s="827">
        <f t="shared" si="17"/>
        <v>7436.6640000000007</v>
      </c>
      <c r="H26" s="827">
        <f t="shared" si="18"/>
        <v>59774.330689273105</v>
      </c>
      <c r="I26" s="827">
        <f>(('Table 3 Levels 1&amp;2'!AL30-D26)+('Table 4 Level 3'!P28-F26))*C26</f>
        <v>6641.5922988081156</v>
      </c>
      <c r="J26" s="827">
        <f t="shared" si="19"/>
        <v>-149</v>
      </c>
      <c r="K26" s="828">
        <f t="shared" si="20"/>
        <v>59625.330689273105</v>
      </c>
      <c r="L26" s="828">
        <f>'[18]LAVCA Adjustment'!X27++'[16]Oct midyear LA Virtual Admy'!K26+'[19]Feb midyear adj_LA virtual '!M28</f>
        <v>4966.1007333311845</v>
      </c>
      <c r="M26" s="829">
        <f t="shared" si="21"/>
        <v>64591.431422604292</v>
      </c>
      <c r="N26" s="829">
        <f t="shared" si="22"/>
        <v>5383</v>
      </c>
      <c r="O26" s="830">
        <f>'Table 5C1A-Madison Prep'!N29*90%</f>
        <v>3047.4</v>
      </c>
      <c r="P26" s="831">
        <f t="shared" si="23"/>
        <v>36568.800000000003</v>
      </c>
      <c r="Q26" s="831">
        <f t="shared" si="24"/>
        <v>-91</v>
      </c>
      <c r="R26" s="831">
        <f t="shared" si="25"/>
        <v>36477.800000000003</v>
      </c>
      <c r="S26" s="830">
        <f>'[18]LAVCA Adjustment'!AB27+'[16]Oct midyear LA Virtual Admy'!P26+'[19]Feb midyear adj_LA virtual '!S28</f>
        <v>2762.1</v>
      </c>
      <c r="T26" s="855">
        <f t="shared" si="26"/>
        <v>39239.9</v>
      </c>
      <c r="U26" s="855">
        <f t="shared" si="27"/>
        <v>3270</v>
      </c>
      <c r="V26" s="832">
        <f t="shared" si="28"/>
        <v>103831.3314226043</v>
      </c>
      <c r="W26" s="832">
        <f t="shared" si="29"/>
        <v>8653</v>
      </c>
    </row>
    <row r="27" spans="1:23" s="545" customFormat="1" ht="17.25" customHeight="1">
      <c r="A27" s="101">
        <v>24</v>
      </c>
      <c r="B27" s="797" t="s">
        <v>116</v>
      </c>
      <c r="C27" s="825">
        <f>'2-1-13 SIS'!J30</f>
        <v>10</v>
      </c>
      <c r="D27" s="826">
        <f>'Table 3 Levels 1&amp;2'!AL31*90%</f>
        <v>2487.7095079787237</v>
      </c>
      <c r="E27" s="826">
        <f t="shared" si="16"/>
        <v>24877.095079787236</v>
      </c>
      <c r="F27" s="827">
        <f>'Table 4 Level 3'!P29*90%</f>
        <v>768.82499999999993</v>
      </c>
      <c r="G27" s="827">
        <f t="shared" si="17"/>
        <v>7688.2499999999991</v>
      </c>
      <c r="H27" s="827">
        <f t="shared" si="18"/>
        <v>32565.345079787236</v>
      </c>
      <c r="I27" s="827">
        <f>(('Table 3 Levels 1&amp;2'!AL31-D27)+('Table 4 Level 3'!P29-F27))*C27</f>
        <v>3618.3716755319142</v>
      </c>
      <c r="J27" s="827">
        <f t="shared" si="19"/>
        <v>-81</v>
      </c>
      <c r="K27" s="828">
        <f t="shared" si="20"/>
        <v>32484.345079787236</v>
      </c>
      <c r="L27" s="828">
        <f>'[18]LAVCA Adjustment'!X28++'[16]Oct midyear LA Virtual Admy'!K27+'[19]Feb midyear adj_LA virtual '!M29</f>
        <v>-4226.8685526590489</v>
      </c>
      <c r="M27" s="829">
        <f t="shared" si="21"/>
        <v>28257.476527128187</v>
      </c>
      <c r="N27" s="829">
        <f t="shared" si="22"/>
        <v>2355</v>
      </c>
      <c r="O27" s="830">
        <f>'Table 5C1A-Madison Prep'!N30*90%</f>
        <v>8784.9</v>
      </c>
      <c r="P27" s="831">
        <f t="shared" si="23"/>
        <v>87849</v>
      </c>
      <c r="Q27" s="831">
        <f t="shared" si="24"/>
        <v>-220</v>
      </c>
      <c r="R27" s="831">
        <f t="shared" si="25"/>
        <v>87629</v>
      </c>
      <c r="S27" s="830">
        <f>'[18]LAVCA Adjustment'!AB28+'[16]Oct midyear LA Virtual Admy'!P27+'[19]Feb midyear adj_LA virtual '!S29</f>
        <v>-12590.099999999999</v>
      </c>
      <c r="T27" s="855">
        <f t="shared" si="26"/>
        <v>75038.899999999994</v>
      </c>
      <c r="U27" s="855">
        <f t="shared" si="27"/>
        <v>6253</v>
      </c>
      <c r="V27" s="832">
        <f t="shared" si="28"/>
        <v>103296.37652712819</v>
      </c>
      <c r="W27" s="832">
        <f t="shared" si="29"/>
        <v>8608</v>
      </c>
    </row>
    <row r="28" spans="1:23" s="545" customFormat="1" ht="17.25" customHeight="1">
      <c r="A28" s="102">
        <v>25</v>
      </c>
      <c r="B28" s="798" t="s">
        <v>117</v>
      </c>
      <c r="C28" s="833">
        <f>'2-1-13 SIS'!J31</f>
        <v>4</v>
      </c>
      <c r="D28" s="834">
        <f>'Table 3 Levels 1&amp;2'!AL32*90%</f>
        <v>3480.7032622847933</v>
      </c>
      <c r="E28" s="834">
        <f t="shared" si="16"/>
        <v>13922.813049139173</v>
      </c>
      <c r="F28" s="835">
        <f>'Table 4 Level 3'!P30*90%</f>
        <v>588.35700000000008</v>
      </c>
      <c r="G28" s="835">
        <f t="shared" si="17"/>
        <v>2353.4280000000003</v>
      </c>
      <c r="H28" s="835">
        <f t="shared" si="18"/>
        <v>16276.241049139173</v>
      </c>
      <c r="I28" s="835">
        <f>(('Table 3 Levels 1&amp;2'!AL32-D28)+('Table 4 Level 3'!P30-F28))*C28</f>
        <v>1808.4712276821297</v>
      </c>
      <c r="J28" s="835">
        <f t="shared" si="19"/>
        <v>-41</v>
      </c>
      <c r="K28" s="836">
        <f t="shared" si="20"/>
        <v>16235.241049139173</v>
      </c>
      <c r="L28" s="836">
        <f>'[18]LAVCA Adjustment'!X29++'[16]Oct midyear LA Virtual Admy'!K28+'[19]Feb midyear adj_LA virtual '!M30</f>
        <v>-1944.4689813277946</v>
      </c>
      <c r="M28" s="837">
        <f t="shared" si="21"/>
        <v>14290.772067811378</v>
      </c>
      <c r="N28" s="837">
        <f t="shared" si="22"/>
        <v>1191</v>
      </c>
      <c r="O28" s="838">
        <f>'Table 5C1A-Madison Prep'!N31*90%</f>
        <v>4357.8</v>
      </c>
      <c r="P28" s="839">
        <f t="shared" si="23"/>
        <v>17431.2</v>
      </c>
      <c r="Q28" s="839">
        <f t="shared" si="24"/>
        <v>-44</v>
      </c>
      <c r="R28" s="839">
        <f t="shared" si="25"/>
        <v>17387.2</v>
      </c>
      <c r="S28" s="838">
        <f>'[18]LAVCA Adjustment'!AB29+'[16]Oct midyear LA Virtual Admy'!P28+'[19]Feb midyear adj_LA virtual '!S30</f>
        <v>-2265.75</v>
      </c>
      <c r="T28" s="856">
        <f t="shared" si="26"/>
        <v>15121.45</v>
      </c>
      <c r="U28" s="856">
        <f t="shared" si="27"/>
        <v>1260</v>
      </c>
      <c r="V28" s="840">
        <f t="shared" si="28"/>
        <v>29412.222067811381</v>
      </c>
      <c r="W28" s="840">
        <f t="shared" si="29"/>
        <v>2451</v>
      </c>
    </row>
    <row r="29" spans="1:23" s="545" customFormat="1" ht="17.25" customHeight="1">
      <c r="A29" s="101">
        <v>26</v>
      </c>
      <c r="B29" s="797" t="s">
        <v>118</v>
      </c>
      <c r="C29" s="817">
        <f>'2-1-13 SIS'!J32</f>
        <v>96</v>
      </c>
      <c r="D29" s="818">
        <f>'Table 3 Levels 1&amp;2'!AL33*90%</f>
        <v>2964.1333741113194</v>
      </c>
      <c r="E29" s="818">
        <f t="shared" si="16"/>
        <v>284556.80391468666</v>
      </c>
      <c r="F29" s="819">
        <f>'Table 4 Level 3'!P31*90%</f>
        <v>753.14700000000005</v>
      </c>
      <c r="G29" s="819">
        <f t="shared" si="17"/>
        <v>72302.112000000008</v>
      </c>
      <c r="H29" s="819">
        <f t="shared" si="18"/>
        <v>356858.91591468669</v>
      </c>
      <c r="I29" s="819">
        <f>(('Table 3 Levels 1&amp;2'!AL33-D29)+('Table 4 Level 3'!P31-F29))*C29</f>
        <v>39650.990657187416</v>
      </c>
      <c r="J29" s="819">
        <f t="shared" si="19"/>
        <v>-892</v>
      </c>
      <c r="K29" s="820">
        <f t="shared" si="20"/>
        <v>355966.91591468669</v>
      </c>
      <c r="L29" s="820">
        <f>'[18]LAVCA Adjustment'!X30++'[16]Oct midyear LA Virtual Admy'!K29+'[19]Feb midyear adj_LA virtual '!M31</f>
        <v>19400.184461864563</v>
      </c>
      <c r="M29" s="821">
        <f t="shared" si="21"/>
        <v>375367.10037655127</v>
      </c>
      <c r="N29" s="821">
        <f t="shared" si="22"/>
        <v>31281</v>
      </c>
      <c r="O29" s="822">
        <f>'Table 5C1A-Madison Prep'!N32*90%</f>
        <v>4770.9000000000005</v>
      </c>
      <c r="P29" s="823">
        <f t="shared" si="23"/>
        <v>458006.4</v>
      </c>
      <c r="Q29" s="823">
        <f t="shared" si="24"/>
        <v>-1145</v>
      </c>
      <c r="R29" s="823">
        <f t="shared" si="25"/>
        <v>456861.4</v>
      </c>
      <c r="S29" s="822">
        <f>'[18]LAVCA Adjustment'!AB30+'[16]Oct midyear LA Virtual Admy'!P29+'[19]Feb midyear adj_LA virtual '!S31</f>
        <v>28393.199999999997</v>
      </c>
      <c r="T29" s="854">
        <f t="shared" si="26"/>
        <v>485254.60000000003</v>
      </c>
      <c r="U29" s="854">
        <f t="shared" si="27"/>
        <v>40438</v>
      </c>
      <c r="V29" s="824">
        <f t="shared" si="28"/>
        <v>860621.70037655137</v>
      </c>
      <c r="W29" s="824">
        <f t="shared" si="29"/>
        <v>71719</v>
      </c>
    </row>
    <row r="30" spans="1:23" s="545" customFormat="1" ht="17.25" customHeight="1">
      <c r="A30" s="101">
        <v>27</v>
      </c>
      <c r="B30" s="797" t="s">
        <v>119</v>
      </c>
      <c r="C30" s="825">
        <f>'2-1-13 SIS'!J33</f>
        <v>3</v>
      </c>
      <c r="D30" s="826">
        <f>'Table 3 Levels 1&amp;2'!AL34*90%</f>
        <v>5112.6954765643777</v>
      </c>
      <c r="E30" s="826">
        <f t="shared" si="16"/>
        <v>15338.086429693132</v>
      </c>
      <c r="F30" s="827">
        <f>'Table 4 Level 3'!P32*90%</f>
        <v>623.75400000000002</v>
      </c>
      <c r="G30" s="827">
        <f t="shared" si="17"/>
        <v>1871.2620000000002</v>
      </c>
      <c r="H30" s="827">
        <f t="shared" si="18"/>
        <v>17209.348429693131</v>
      </c>
      <c r="I30" s="827">
        <f>(('Table 3 Levels 1&amp;2'!AL34-D30)+('Table 4 Level 3'!P32-F30))*C30</f>
        <v>1912.1498255214583</v>
      </c>
      <c r="J30" s="827">
        <f t="shared" si="19"/>
        <v>-43</v>
      </c>
      <c r="K30" s="828">
        <f t="shared" si="20"/>
        <v>17166.348429693131</v>
      </c>
      <c r="L30" s="828">
        <f>'[18]LAVCA Adjustment'!X31++'[16]Oct midyear LA Virtual Admy'!K30+'[19]Feb midyear adj_LA virtual '!M32</f>
        <v>14418.13922577246</v>
      </c>
      <c r="M30" s="829">
        <f t="shared" si="21"/>
        <v>31584.487655465593</v>
      </c>
      <c r="N30" s="829">
        <f t="shared" si="22"/>
        <v>2632</v>
      </c>
      <c r="O30" s="830">
        <f>'Table 5C1A-Madison Prep'!N33*90%</f>
        <v>2926.8</v>
      </c>
      <c r="P30" s="831">
        <f t="shared" si="23"/>
        <v>8780.4000000000015</v>
      </c>
      <c r="Q30" s="831">
        <f t="shared" si="24"/>
        <v>-22</v>
      </c>
      <c r="R30" s="831">
        <f t="shared" si="25"/>
        <v>8758.4000000000015</v>
      </c>
      <c r="S30" s="830">
        <f>'[18]LAVCA Adjustment'!AB31+'[16]Oct midyear LA Virtual Admy'!P30+'[19]Feb midyear adj_LA virtual '!S32</f>
        <v>6644.2500000000009</v>
      </c>
      <c r="T30" s="855">
        <f t="shared" si="26"/>
        <v>15402.650000000001</v>
      </c>
      <c r="U30" s="855">
        <f t="shared" si="27"/>
        <v>1284</v>
      </c>
      <c r="V30" s="832">
        <f t="shared" si="28"/>
        <v>46987.137655465594</v>
      </c>
      <c r="W30" s="832">
        <f t="shared" si="29"/>
        <v>3916</v>
      </c>
    </row>
    <row r="31" spans="1:23" s="545" customFormat="1" ht="17.25" customHeight="1">
      <c r="A31" s="101">
        <v>28</v>
      </c>
      <c r="B31" s="797" t="s">
        <v>120</v>
      </c>
      <c r="C31" s="825">
        <f>'2-1-13 SIS'!J34</f>
        <v>39</v>
      </c>
      <c r="D31" s="826">
        <f>'Table 3 Levels 1&amp;2'!AL35*90%</f>
        <v>2846.8524994634854</v>
      </c>
      <c r="E31" s="826">
        <f t="shared" si="16"/>
        <v>111027.24747907593</v>
      </c>
      <c r="F31" s="827">
        <f>'Table 4 Level 3'!P33*90%</f>
        <v>624.96</v>
      </c>
      <c r="G31" s="827">
        <f t="shared" si="17"/>
        <v>24373.440000000002</v>
      </c>
      <c r="H31" s="827">
        <f t="shared" si="18"/>
        <v>135400.68747907592</v>
      </c>
      <c r="I31" s="827">
        <f>(('Table 3 Levels 1&amp;2'!AL35-D31)+('Table 4 Level 3'!P33-F31))*C31</f>
        <v>15044.520831008425</v>
      </c>
      <c r="J31" s="827">
        <f t="shared" si="19"/>
        <v>-339</v>
      </c>
      <c r="K31" s="828">
        <f t="shared" si="20"/>
        <v>135061.68747907592</v>
      </c>
      <c r="L31" s="828">
        <f>'[18]LAVCA Adjustment'!X32++'[16]Oct midyear LA Virtual Admy'!K31+'[19]Feb midyear adj_LA virtual '!M33</f>
        <v>2034.6534504075903</v>
      </c>
      <c r="M31" s="829">
        <f t="shared" si="21"/>
        <v>137096.3409294835</v>
      </c>
      <c r="N31" s="829">
        <f t="shared" si="22"/>
        <v>11425</v>
      </c>
      <c r="O31" s="830">
        <f>'Table 5C1A-Madison Prep'!N34*90%</f>
        <v>4824.9000000000005</v>
      </c>
      <c r="P31" s="831">
        <f t="shared" si="23"/>
        <v>188171.10000000003</v>
      </c>
      <c r="Q31" s="831">
        <f t="shared" si="24"/>
        <v>-470</v>
      </c>
      <c r="R31" s="831">
        <f t="shared" si="25"/>
        <v>187701.10000000003</v>
      </c>
      <c r="S31" s="830">
        <f>'[18]LAVCA Adjustment'!AB32+'[16]Oct midyear LA Virtual Admy'!P31+'[19]Feb midyear adj_LA virtual '!S33</f>
        <v>2265.3000000000002</v>
      </c>
      <c r="T31" s="855">
        <f t="shared" si="26"/>
        <v>189966.40000000002</v>
      </c>
      <c r="U31" s="855">
        <f t="shared" si="27"/>
        <v>15831</v>
      </c>
      <c r="V31" s="832">
        <f t="shared" si="28"/>
        <v>327062.74092948355</v>
      </c>
      <c r="W31" s="832">
        <f t="shared" si="29"/>
        <v>27256</v>
      </c>
    </row>
    <row r="32" spans="1:23" s="545" customFormat="1" ht="17.25" customHeight="1">
      <c r="A32" s="101">
        <v>29</v>
      </c>
      <c r="B32" s="797" t="s">
        <v>121</v>
      </c>
      <c r="C32" s="825">
        <f>'2-1-13 SIS'!J35</f>
        <v>12</v>
      </c>
      <c r="D32" s="826">
        <f>'Table 3 Levels 1&amp;2'!AL36*90%</f>
        <v>3557.3027519747384</v>
      </c>
      <c r="E32" s="826">
        <f t="shared" si="16"/>
        <v>42687.633023696864</v>
      </c>
      <c r="F32" s="827">
        <f>'Table 4 Level 3'!P34*90%</f>
        <v>679.45499999999993</v>
      </c>
      <c r="G32" s="827">
        <f t="shared" si="17"/>
        <v>8153.4599999999991</v>
      </c>
      <c r="H32" s="827">
        <f t="shared" si="18"/>
        <v>50841.093023696863</v>
      </c>
      <c r="I32" s="827">
        <f>(('Table 3 Levels 1&amp;2'!AL36-D32)+('Table 4 Level 3'!P34-F32))*C32</f>
        <v>5649.0103359663171</v>
      </c>
      <c r="J32" s="827">
        <f t="shared" si="19"/>
        <v>-127</v>
      </c>
      <c r="K32" s="828">
        <f t="shared" si="20"/>
        <v>50714.093023696863</v>
      </c>
      <c r="L32" s="828">
        <f>'[18]LAVCA Adjustment'!X33++'[16]Oct midyear LA Virtual Admy'!K32+'[19]Feb midyear adj_LA virtual '!M34</f>
        <v>797.64505343467954</v>
      </c>
      <c r="M32" s="829">
        <f t="shared" si="21"/>
        <v>51511.738077131544</v>
      </c>
      <c r="N32" s="829">
        <f t="shared" si="22"/>
        <v>4293</v>
      </c>
      <c r="O32" s="830">
        <f>'Table 5C1A-Madison Prep'!N35*90%</f>
        <v>4286.7</v>
      </c>
      <c r="P32" s="831">
        <f t="shared" si="23"/>
        <v>51440.399999999994</v>
      </c>
      <c r="Q32" s="831">
        <f t="shared" si="24"/>
        <v>-129</v>
      </c>
      <c r="R32" s="831">
        <f t="shared" si="25"/>
        <v>51311.399999999994</v>
      </c>
      <c r="S32" s="830">
        <f>'[18]LAVCA Adjustment'!AB33+'[16]Oct midyear LA Virtual Admy'!P32+'[19]Feb midyear adj_LA virtual '!S34</f>
        <v>0</v>
      </c>
      <c r="T32" s="855">
        <f t="shared" si="26"/>
        <v>51311.399999999994</v>
      </c>
      <c r="U32" s="855">
        <f t="shared" si="27"/>
        <v>4276</v>
      </c>
      <c r="V32" s="832">
        <f t="shared" si="28"/>
        <v>102823.13807713153</v>
      </c>
      <c r="W32" s="832">
        <f t="shared" si="29"/>
        <v>8569</v>
      </c>
    </row>
    <row r="33" spans="1:23" s="545" customFormat="1" ht="17.25" customHeight="1">
      <c r="A33" s="102">
        <v>30</v>
      </c>
      <c r="B33" s="798" t="s">
        <v>122</v>
      </c>
      <c r="C33" s="833">
        <f>'2-1-13 SIS'!J36</f>
        <v>4</v>
      </c>
      <c r="D33" s="834">
        <f>'Table 3 Levels 1&amp;2'!AL37*90%</f>
        <v>5083.7859419267688</v>
      </c>
      <c r="E33" s="834">
        <f t="shared" si="16"/>
        <v>20335.143767707075</v>
      </c>
      <c r="F33" s="835">
        <f>'Table 4 Level 3'!P35*90%</f>
        <v>654.45299999999997</v>
      </c>
      <c r="G33" s="835">
        <f t="shared" si="17"/>
        <v>2617.8119999999999</v>
      </c>
      <c r="H33" s="835">
        <f t="shared" si="18"/>
        <v>22952.955767707077</v>
      </c>
      <c r="I33" s="835">
        <f>(('Table 3 Levels 1&amp;2'!AL37-D33)+('Table 4 Level 3'!P35-F33))*C33</f>
        <v>2550.3284186341202</v>
      </c>
      <c r="J33" s="835">
        <f t="shared" si="19"/>
        <v>-57</v>
      </c>
      <c r="K33" s="836">
        <f t="shared" si="20"/>
        <v>22895.955767707077</v>
      </c>
      <c r="L33" s="836">
        <f>'[18]LAVCA Adjustment'!X34++'[16]Oct midyear LA Virtual Admy'!K33+'[19]Feb midyear adj_LA virtual '!M35</f>
        <v>0</v>
      </c>
      <c r="M33" s="837">
        <f t="shared" si="21"/>
        <v>22895.955767707077</v>
      </c>
      <c r="N33" s="837">
        <f t="shared" si="22"/>
        <v>1908</v>
      </c>
      <c r="O33" s="838">
        <f>'Table 5C1A-Madison Prep'!N36*90%</f>
        <v>2912.4</v>
      </c>
      <c r="P33" s="839">
        <f t="shared" si="23"/>
        <v>11649.6</v>
      </c>
      <c r="Q33" s="839">
        <f t="shared" si="24"/>
        <v>-29</v>
      </c>
      <c r="R33" s="839">
        <f t="shared" si="25"/>
        <v>11620.6</v>
      </c>
      <c r="S33" s="838">
        <f>'[18]LAVCA Adjustment'!AB34+'[16]Oct midyear LA Virtual Admy'!P33+'[19]Feb midyear adj_LA virtual '!S35</f>
        <v>0</v>
      </c>
      <c r="T33" s="856">
        <f t="shared" si="26"/>
        <v>11620.6</v>
      </c>
      <c r="U33" s="856">
        <f t="shared" si="27"/>
        <v>968</v>
      </c>
      <c r="V33" s="840">
        <f t="shared" si="28"/>
        <v>34516.555767707076</v>
      </c>
      <c r="W33" s="840">
        <f t="shared" si="29"/>
        <v>2876</v>
      </c>
    </row>
    <row r="34" spans="1:23" s="545" customFormat="1" ht="17.25" customHeight="1">
      <c r="A34" s="101">
        <v>31</v>
      </c>
      <c r="B34" s="797" t="s">
        <v>123</v>
      </c>
      <c r="C34" s="817">
        <f>'2-1-13 SIS'!J37</f>
        <v>2</v>
      </c>
      <c r="D34" s="818">
        <f>'Table 3 Levels 1&amp;2'!AL38*90%</f>
        <v>3914.0377109309675</v>
      </c>
      <c r="E34" s="818">
        <f t="shared" si="16"/>
        <v>7828.075421861935</v>
      </c>
      <c r="F34" s="819">
        <f>'Table 4 Level 3'!P36*90%</f>
        <v>558.74700000000007</v>
      </c>
      <c r="G34" s="819">
        <f t="shared" si="17"/>
        <v>1117.4940000000001</v>
      </c>
      <c r="H34" s="819">
        <f t="shared" si="18"/>
        <v>8945.5694218619356</v>
      </c>
      <c r="I34" s="819">
        <f>(('Table 3 Levels 1&amp;2'!AL38-D34)+('Table 4 Level 3'!P36-F34))*C34</f>
        <v>993.95215798465938</v>
      </c>
      <c r="J34" s="819">
        <f t="shared" si="19"/>
        <v>-22</v>
      </c>
      <c r="K34" s="820">
        <f t="shared" si="20"/>
        <v>8923.5694218619356</v>
      </c>
      <c r="L34" s="820">
        <f>'[18]LAVCA Adjustment'!X35++'[16]Oct midyear LA Virtual Admy'!K34+'[19]Feb midyear adj_LA virtual '!M36</f>
        <v>-6552.5138358897311</v>
      </c>
      <c r="M34" s="821">
        <f t="shared" si="21"/>
        <v>2371.0555859722044</v>
      </c>
      <c r="N34" s="821">
        <f t="shared" si="22"/>
        <v>198</v>
      </c>
      <c r="O34" s="822">
        <f>'Table 5C1A-Madison Prep'!N37*90%</f>
        <v>4315.5</v>
      </c>
      <c r="P34" s="823">
        <f t="shared" si="23"/>
        <v>8631</v>
      </c>
      <c r="Q34" s="823">
        <f t="shared" si="24"/>
        <v>-22</v>
      </c>
      <c r="R34" s="823">
        <f t="shared" si="25"/>
        <v>8609</v>
      </c>
      <c r="S34" s="822">
        <f>'[18]LAVCA Adjustment'!AB35+'[16]Oct midyear LA Virtual Admy'!P34+'[19]Feb midyear adj_LA virtual '!S36</f>
        <v>-6313.9500000000007</v>
      </c>
      <c r="T34" s="854">
        <f t="shared" si="26"/>
        <v>2295.0499999999993</v>
      </c>
      <c r="U34" s="854">
        <f t="shared" si="27"/>
        <v>191</v>
      </c>
      <c r="V34" s="824">
        <f t="shared" si="28"/>
        <v>4666.1055859722037</v>
      </c>
      <c r="W34" s="824">
        <f t="shared" si="29"/>
        <v>389</v>
      </c>
    </row>
    <row r="35" spans="1:23" s="545" customFormat="1" ht="17.25" customHeight="1">
      <c r="A35" s="101">
        <v>32</v>
      </c>
      <c r="B35" s="797" t="s">
        <v>124</v>
      </c>
      <c r="C35" s="825">
        <f>'2-1-13 SIS'!J38</f>
        <v>32</v>
      </c>
      <c r="D35" s="826">
        <f>'Table 3 Levels 1&amp;2'!AL39*90%</f>
        <v>4978.3641889911114</v>
      </c>
      <c r="E35" s="826">
        <f t="shared" si="16"/>
        <v>159307.65404771556</v>
      </c>
      <c r="F35" s="827">
        <f>'Table 4 Level 3'!P37*90%</f>
        <v>503.79300000000001</v>
      </c>
      <c r="G35" s="827">
        <f t="shared" si="17"/>
        <v>16121.376</v>
      </c>
      <c r="H35" s="827">
        <f t="shared" si="18"/>
        <v>175429.03004771555</v>
      </c>
      <c r="I35" s="827">
        <f>(('Table 3 Levels 1&amp;2'!AL39-D35)+('Table 4 Level 3'!P37-F35))*C35</f>
        <v>19492.114449746154</v>
      </c>
      <c r="J35" s="827">
        <f t="shared" si="19"/>
        <v>-439</v>
      </c>
      <c r="K35" s="828">
        <f t="shared" si="20"/>
        <v>174990.03004771555</v>
      </c>
      <c r="L35" s="828">
        <f>'[18]LAVCA Adjustment'!X36++'[16]Oct midyear LA Virtual Admy'!K35+'[19]Feb midyear adj_LA virtual '!M37</f>
        <v>8072.8479056944361</v>
      </c>
      <c r="M35" s="829">
        <f t="shared" si="21"/>
        <v>183062.87795341</v>
      </c>
      <c r="N35" s="829">
        <f t="shared" si="22"/>
        <v>15255</v>
      </c>
      <c r="O35" s="830">
        <f>'Table 5C1A-Madison Prep'!N38*90%</f>
        <v>1898.1000000000001</v>
      </c>
      <c r="P35" s="831">
        <f t="shared" si="23"/>
        <v>60739.200000000004</v>
      </c>
      <c r="Q35" s="831">
        <f t="shared" si="24"/>
        <v>-152</v>
      </c>
      <c r="R35" s="831">
        <f t="shared" si="25"/>
        <v>60587.200000000004</v>
      </c>
      <c r="S35" s="830">
        <f>'[18]LAVCA Adjustment'!AB36+'[16]Oct midyear LA Virtual Admy'!P35+'[19]Feb midyear adj_LA virtual '!S37</f>
        <v>2531.25</v>
      </c>
      <c r="T35" s="855">
        <f t="shared" si="26"/>
        <v>63118.450000000004</v>
      </c>
      <c r="U35" s="855">
        <f t="shared" si="27"/>
        <v>5260</v>
      </c>
      <c r="V35" s="832">
        <f t="shared" si="28"/>
        <v>246181.32795341001</v>
      </c>
      <c r="W35" s="832">
        <f t="shared" si="29"/>
        <v>20515</v>
      </c>
    </row>
    <row r="36" spans="1:23" s="545" customFormat="1" ht="17.25" customHeight="1">
      <c r="A36" s="101">
        <v>33</v>
      </c>
      <c r="B36" s="797" t="s">
        <v>125</v>
      </c>
      <c r="C36" s="825">
        <f>'2-1-13 SIS'!J39</f>
        <v>2</v>
      </c>
      <c r="D36" s="826">
        <f>'Table 3 Levels 1&amp;2'!AL40*90%</f>
        <v>4796.5899803866068</v>
      </c>
      <c r="E36" s="826">
        <f t="shared" si="16"/>
        <v>9593.1799607732137</v>
      </c>
      <c r="F36" s="827">
        <f>'Table 4 Level 3'!P38*90%</f>
        <v>589.77900000000011</v>
      </c>
      <c r="G36" s="827">
        <f t="shared" si="17"/>
        <v>1179.5580000000002</v>
      </c>
      <c r="H36" s="827">
        <f t="shared" si="18"/>
        <v>10772.737960773215</v>
      </c>
      <c r="I36" s="827">
        <f>(('Table 3 Levels 1&amp;2'!AL40-D36)+('Table 4 Level 3'!P38-F36))*C36</f>
        <v>1196.9708845303576</v>
      </c>
      <c r="J36" s="827">
        <f t="shared" si="19"/>
        <v>-27</v>
      </c>
      <c r="K36" s="828">
        <f t="shared" si="20"/>
        <v>10745.737960773215</v>
      </c>
      <c r="L36" s="828">
        <f>'[18]LAVCA Adjustment'!X37++'[16]Oct midyear LA Virtual Admy'!K36+'[19]Feb midyear adj_LA virtual '!M38</f>
        <v>-16223.420824313898</v>
      </c>
      <c r="M36" s="829">
        <f t="shared" si="21"/>
        <v>-5477.6828635406837</v>
      </c>
      <c r="N36" s="829">
        <f t="shared" si="22"/>
        <v>-456</v>
      </c>
      <c r="O36" s="830">
        <f>'Table 5C1A-Madison Prep'!N39*90%</f>
        <v>2384.1</v>
      </c>
      <c r="P36" s="831">
        <f t="shared" si="23"/>
        <v>4768.2</v>
      </c>
      <c r="Q36" s="831">
        <f t="shared" si="24"/>
        <v>-12</v>
      </c>
      <c r="R36" s="831">
        <f t="shared" si="25"/>
        <v>4756.2</v>
      </c>
      <c r="S36" s="830">
        <f>'[18]LAVCA Adjustment'!AB37+'[16]Oct midyear LA Virtual Admy'!P36+'[19]Feb midyear adj_LA virtual '!S38</f>
        <v>-8221.5</v>
      </c>
      <c r="T36" s="855">
        <f t="shared" si="26"/>
        <v>-3465.3</v>
      </c>
      <c r="U36" s="855">
        <f t="shared" si="27"/>
        <v>-289</v>
      </c>
      <c r="V36" s="832">
        <f t="shared" si="28"/>
        <v>-8942.9828635406848</v>
      </c>
      <c r="W36" s="832">
        <f t="shared" si="29"/>
        <v>-745</v>
      </c>
    </row>
    <row r="37" spans="1:23" s="545" customFormat="1" ht="17.25" customHeight="1">
      <c r="A37" s="101">
        <v>34</v>
      </c>
      <c r="B37" s="797" t="s">
        <v>126</v>
      </c>
      <c r="C37" s="825">
        <f>'2-1-13 SIS'!J40</f>
        <v>15</v>
      </c>
      <c r="D37" s="826">
        <f>'Table 3 Levels 1&amp;2'!AL41*90%</f>
        <v>5403.2696388067425</v>
      </c>
      <c r="E37" s="826">
        <f t="shared" si="16"/>
        <v>81049.044582101138</v>
      </c>
      <c r="F37" s="827">
        <f>'Table 4 Level 3'!P39*90%</f>
        <v>579.69900000000018</v>
      </c>
      <c r="G37" s="827">
        <f t="shared" si="17"/>
        <v>8695.4850000000024</v>
      </c>
      <c r="H37" s="827">
        <f t="shared" si="18"/>
        <v>89744.529582101139</v>
      </c>
      <c r="I37" s="827">
        <f>(('Table 3 Levels 1&amp;2'!AL41-D37)+('Table 4 Level 3'!P39-F37))*C37</f>
        <v>9971.6143980112283</v>
      </c>
      <c r="J37" s="827">
        <f t="shared" si="19"/>
        <v>-224</v>
      </c>
      <c r="K37" s="828">
        <f t="shared" si="20"/>
        <v>89520.529582101139</v>
      </c>
      <c r="L37" s="828">
        <f>'[18]LAVCA Adjustment'!X38++'[16]Oct midyear LA Virtual Admy'!K37+'[19]Feb midyear adj_LA virtual '!M39</f>
        <v>2884.0040853608243</v>
      </c>
      <c r="M37" s="829">
        <f t="shared" si="21"/>
        <v>92404.533667461961</v>
      </c>
      <c r="N37" s="829">
        <f t="shared" si="22"/>
        <v>7700</v>
      </c>
      <c r="O37" s="830">
        <f>'Table 5C1A-Madison Prep'!N40*90%</f>
        <v>2535.3000000000002</v>
      </c>
      <c r="P37" s="831">
        <f t="shared" si="23"/>
        <v>38029.5</v>
      </c>
      <c r="Q37" s="831">
        <f t="shared" si="24"/>
        <v>-95</v>
      </c>
      <c r="R37" s="831">
        <f t="shared" si="25"/>
        <v>37934.5</v>
      </c>
      <c r="S37" s="830">
        <f>'[18]LAVCA Adjustment'!AB38+'[16]Oct midyear LA Virtual Admy'!P37+'[19]Feb midyear adj_LA virtual '!S39</f>
        <v>1216.3500000000001</v>
      </c>
      <c r="T37" s="855">
        <f t="shared" si="26"/>
        <v>39150.85</v>
      </c>
      <c r="U37" s="855">
        <f t="shared" si="27"/>
        <v>3263</v>
      </c>
      <c r="V37" s="832">
        <f t="shared" si="28"/>
        <v>131555.38366746195</v>
      </c>
      <c r="W37" s="832">
        <f t="shared" si="29"/>
        <v>10963</v>
      </c>
    </row>
    <row r="38" spans="1:23" s="545" customFormat="1" ht="17.25" customHeight="1">
      <c r="A38" s="102">
        <v>35</v>
      </c>
      <c r="B38" s="798" t="s">
        <v>127</v>
      </c>
      <c r="C38" s="833">
        <f>'2-1-13 SIS'!J41</f>
        <v>17</v>
      </c>
      <c r="D38" s="834">
        <f>'Table 3 Levels 1&amp;2'!AL42*90%</f>
        <v>4146.4445774600581</v>
      </c>
      <c r="E38" s="834">
        <f t="shared" si="16"/>
        <v>70489.55781682099</v>
      </c>
      <c r="F38" s="835">
        <f>'Table 4 Level 3'!P40*90%</f>
        <v>484.16400000000004</v>
      </c>
      <c r="G38" s="835">
        <f t="shared" si="17"/>
        <v>8230.7880000000005</v>
      </c>
      <c r="H38" s="835">
        <f t="shared" si="18"/>
        <v>78720.345816820991</v>
      </c>
      <c r="I38" s="835">
        <f>(('Table 3 Levels 1&amp;2'!AL42-D38)+('Table 4 Level 3'!P40-F38))*C38</f>
        <v>8746.7050907578869</v>
      </c>
      <c r="J38" s="835">
        <f t="shared" si="19"/>
        <v>-197</v>
      </c>
      <c r="K38" s="836">
        <f t="shared" si="20"/>
        <v>78523.345816820991</v>
      </c>
      <c r="L38" s="836">
        <f>'[18]LAVCA Adjustment'!X39++'[16]Oct midyear LA Virtual Admy'!K38+'[19]Feb midyear adj_LA virtual '!M40</f>
        <v>7428.4372296301954</v>
      </c>
      <c r="M38" s="837">
        <f t="shared" si="21"/>
        <v>85951.783046451194</v>
      </c>
      <c r="N38" s="837">
        <f t="shared" si="22"/>
        <v>7163</v>
      </c>
      <c r="O38" s="838">
        <f>'Table 5C1A-Madison Prep'!N41*90%</f>
        <v>2968.2000000000003</v>
      </c>
      <c r="P38" s="839">
        <f t="shared" si="23"/>
        <v>50459.4</v>
      </c>
      <c r="Q38" s="839">
        <f t="shared" si="24"/>
        <v>-126</v>
      </c>
      <c r="R38" s="839">
        <f t="shared" si="25"/>
        <v>50333.4</v>
      </c>
      <c r="S38" s="838">
        <f>'[18]LAVCA Adjustment'!AB39+'[16]Oct midyear LA Virtual Admy'!P38+'[19]Feb midyear adj_LA virtual '!S40</f>
        <v>4249.8</v>
      </c>
      <c r="T38" s="856">
        <f t="shared" si="26"/>
        <v>54583.200000000004</v>
      </c>
      <c r="U38" s="856">
        <f t="shared" si="27"/>
        <v>4549</v>
      </c>
      <c r="V38" s="840">
        <f t="shared" si="28"/>
        <v>140534.98304645121</v>
      </c>
      <c r="W38" s="840">
        <f t="shared" si="29"/>
        <v>11712</v>
      </c>
    </row>
    <row r="39" spans="1:23" s="545" customFormat="1" ht="17.25" customHeight="1">
      <c r="A39" s="101">
        <v>36</v>
      </c>
      <c r="B39" s="797" t="s">
        <v>128</v>
      </c>
      <c r="C39" s="817">
        <f>'2-1-13 SIS'!J42</f>
        <v>52</v>
      </c>
      <c r="D39" s="818">
        <f>'Table 3 Levels 1&amp;2'!AL43*90%</f>
        <v>3168.4404903940576</v>
      </c>
      <c r="E39" s="818">
        <f t="shared" si="16"/>
        <v>164758.905500491</v>
      </c>
      <c r="F39" s="819">
        <f>'Table 5B1_RSD_Orleans'!F78*90%</f>
        <v>671.43020547945218</v>
      </c>
      <c r="G39" s="819">
        <f t="shared" si="17"/>
        <v>34914.370684931513</v>
      </c>
      <c r="H39" s="819">
        <f t="shared" si="18"/>
        <v>199673.27618542252</v>
      </c>
      <c r="I39" s="819">
        <f>(('Table 3 Levels 1&amp;2'!AL43-D39)+('Table 4 Level 3'!P41-F39))*C39</f>
        <v>21208.226797535761</v>
      </c>
      <c r="J39" s="819">
        <f t="shared" si="19"/>
        <v>-499</v>
      </c>
      <c r="K39" s="820">
        <f t="shared" si="20"/>
        <v>199174.27618542252</v>
      </c>
      <c r="L39" s="820">
        <f>'[18]LAVCA Adjustment'!X40++'[16]Oct midyear LA Virtual Admy'!K39+'[19]Feb midyear adj_LA virtual '!M41</f>
        <v>-9959.508020348836</v>
      </c>
      <c r="M39" s="821">
        <f t="shared" si="21"/>
        <v>189214.76816507368</v>
      </c>
      <c r="N39" s="821">
        <f t="shared" si="22"/>
        <v>15768</v>
      </c>
      <c r="O39" s="822">
        <f>'Table 5C1A-Madison Prep'!N42*90%</f>
        <v>4897.8</v>
      </c>
      <c r="P39" s="823">
        <f t="shared" si="23"/>
        <v>254685.6</v>
      </c>
      <c r="Q39" s="823">
        <f t="shared" si="24"/>
        <v>-637</v>
      </c>
      <c r="R39" s="823">
        <f t="shared" si="25"/>
        <v>254048.6</v>
      </c>
      <c r="S39" s="822">
        <f>'[18]LAVCA Adjustment'!AB40+'[16]Oct midyear LA Virtual Admy'!P39+'[19]Feb midyear adj_LA virtual '!S41</f>
        <v>-8731.8000000000011</v>
      </c>
      <c r="T39" s="854">
        <f t="shared" si="26"/>
        <v>245316.80000000002</v>
      </c>
      <c r="U39" s="854">
        <f t="shared" si="27"/>
        <v>20443</v>
      </c>
      <c r="V39" s="824">
        <f t="shared" si="28"/>
        <v>434531.5681650737</v>
      </c>
      <c r="W39" s="824">
        <f t="shared" si="29"/>
        <v>36211</v>
      </c>
    </row>
    <row r="40" spans="1:23" s="545" customFormat="1" ht="17.25" customHeight="1">
      <c r="A40" s="101">
        <v>37</v>
      </c>
      <c r="B40" s="797" t="s">
        <v>129</v>
      </c>
      <c r="C40" s="825">
        <f>'2-1-13 SIS'!J43</f>
        <v>37</v>
      </c>
      <c r="D40" s="826">
        <f>'Table 3 Levels 1&amp;2'!AL44*90%</f>
        <v>4953.383607763697</v>
      </c>
      <c r="E40" s="826">
        <f t="shared" si="16"/>
        <v>183275.19348725679</v>
      </c>
      <c r="F40" s="827">
        <f>'Table 4 Level 3'!P42*90%</f>
        <v>588.24900000000002</v>
      </c>
      <c r="G40" s="827">
        <f t="shared" si="17"/>
        <v>21765.213</v>
      </c>
      <c r="H40" s="827">
        <f t="shared" si="18"/>
        <v>205040.40648725678</v>
      </c>
      <c r="I40" s="827">
        <f>(('Table 3 Levels 1&amp;2'!AL44-D40)+('Table 4 Level 3'!P42-F40))*C40</f>
        <v>22782.267387472966</v>
      </c>
      <c r="J40" s="827">
        <f t="shared" si="19"/>
        <v>-513</v>
      </c>
      <c r="K40" s="828">
        <f t="shared" si="20"/>
        <v>204527.40648725678</v>
      </c>
      <c r="L40" s="828">
        <f>'[18]LAVCA Adjustment'!X41++'[16]Oct midyear LA Virtual Admy'!K40+'[19]Feb midyear adj_LA virtual '!M42</f>
        <v>16539.388428773</v>
      </c>
      <c r="M40" s="829">
        <f t="shared" si="21"/>
        <v>221066.79491602979</v>
      </c>
      <c r="N40" s="829">
        <f t="shared" si="22"/>
        <v>18422</v>
      </c>
      <c r="O40" s="830">
        <f>'Table 5C1A-Madison Prep'!N43*90%</f>
        <v>2904.3</v>
      </c>
      <c r="P40" s="831">
        <f t="shared" si="23"/>
        <v>107459.1</v>
      </c>
      <c r="Q40" s="831">
        <f t="shared" si="24"/>
        <v>-269</v>
      </c>
      <c r="R40" s="831">
        <f t="shared" si="25"/>
        <v>107190.1</v>
      </c>
      <c r="S40" s="830">
        <f>'[18]LAVCA Adjustment'!AB41+'[16]Oct midyear LA Virtual Admy'!P40+'[19]Feb midyear adj_LA virtual '!S42</f>
        <v>8181</v>
      </c>
      <c r="T40" s="855">
        <f t="shared" si="26"/>
        <v>115371.1</v>
      </c>
      <c r="U40" s="855">
        <f t="shared" si="27"/>
        <v>9614</v>
      </c>
      <c r="V40" s="832">
        <f t="shared" si="28"/>
        <v>336437.89491602976</v>
      </c>
      <c r="W40" s="832">
        <f t="shared" si="29"/>
        <v>28036</v>
      </c>
    </row>
    <row r="41" spans="1:23" s="545" customFormat="1" ht="17.25" customHeight="1">
      <c r="A41" s="101">
        <v>38</v>
      </c>
      <c r="B41" s="797" t="s">
        <v>130</v>
      </c>
      <c r="C41" s="825">
        <f>'2-1-13 SIS'!J44</f>
        <v>2</v>
      </c>
      <c r="D41" s="826">
        <f>'Table 3 Levels 1&amp;2'!AL45*90%</f>
        <v>1973.4790748031496</v>
      </c>
      <c r="E41" s="826">
        <f t="shared" si="16"/>
        <v>3946.9581496062992</v>
      </c>
      <c r="F41" s="827">
        <f>'Table 4 Level 3'!P43*90%</f>
        <v>746.92800000000011</v>
      </c>
      <c r="G41" s="827">
        <f t="shared" si="17"/>
        <v>1493.8560000000002</v>
      </c>
      <c r="H41" s="827">
        <f t="shared" si="18"/>
        <v>5440.8141496062999</v>
      </c>
      <c r="I41" s="827">
        <f>(('Table 3 Levels 1&amp;2'!AL45-D41)+('Table 4 Level 3'!P43-F41))*C41</f>
        <v>604.53490551181085</v>
      </c>
      <c r="J41" s="827">
        <f t="shared" si="19"/>
        <v>-14</v>
      </c>
      <c r="K41" s="828">
        <f t="shared" si="20"/>
        <v>5426.8141496062999</v>
      </c>
      <c r="L41" s="828">
        <f>'[18]LAVCA Adjustment'!X42++'[16]Oct midyear LA Virtual Admy'!K41+'[19]Feb midyear adj_LA virtual '!M43</f>
        <v>-1048.340104133878</v>
      </c>
      <c r="M41" s="829">
        <f t="shared" si="21"/>
        <v>4378.4740454724215</v>
      </c>
      <c r="N41" s="829">
        <f t="shared" si="22"/>
        <v>365</v>
      </c>
      <c r="O41" s="830">
        <f>'Table 5C1A-Madison Prep'!N44*90%</f>
        <v>9780.3000000000011</v>
      </c>
      <c r="P41" s="831">
        <f t="shared" si="23"/>
        <v>19560.600000000002</v>
      </c>
      <c r="Q41" s="831">
        <f t="shared" si="24"/>
        <v>-49</v>
      </c>
      <c r="R41" s="831">
        <f t="shared" si="25"/>
        <v>19511.600000000002</v>
      </c>
      <c r="S41" s="830">
        <f>'[18]LAVCA Adjustment'!AB42+'[16]Oct midyear LA Virtual Admy'!P41+'[19]Feb midyear adj_LA virtual '!S43</f>
        <v>-5140.8</v>
      </c>
      <c r="T41" s="855">
        <f t="shared" si="26"/>
        <v>14370.800000000003</v>
      </c>
      <c r="U41" s="855">
        <f t="shared" si="27"/>
        <v>1198</v>
      </c>
      <c r="V41" s="832">
        <f t="shared" si="28"/>
        <v>18749.274045472426</v>
      </c>
      <c r="W41" s="832">
        <f t="shared" si="29"/>
        <v>1563</v>
      </c>
    </row>
    <row r="42" spans="1:23" s="545" customFormat="1" ht="17.25" customHeight="1">
      <c r="A42" s="101">
        <v>39</v>
      </c>
      <c r="B42" s="797" t="s">
        <v>131</v>
      </c>
      <c r="C42" s="825">
        <f>'2-1-13 SIS'!J45</f>
        <v>3</v>
      </c>
      <c r="D42" s="826">
        <f>'Table 3 Levels 1&amp;2'!AL46*90%</f>
        <v>3275.9948500256428</v>
      </c>
      <c r="E42" s="826">
        <f t="shared" si="16"/>
        <v>9827.9845500769279</v>
      </c>
      <c r="F42" s="827">
        <f>'Table 5B2_RSD_LA'!F21*90%</f>
        <v>701.69015738498797</v>
      </c>
      <c r="G42" s="827">
        <f t="shared" si="17"/>
        <v>2105.0704721549637</v>
      </c>
      <c r="H42" s="827">
        <f t="shared" si="18"/>
        <v>11933.055022231893</v>
      </c>
      <c r="I42" s="827">
        <f>(('Table 3 Levels 1&amp;2'!AL46-D42)+('Table 4 Level 3'!P44-F42))*C42</f>
        <v>1325.8950024702096</v>
      </c>
      <c r="J42" s="827">
        <f t="shared" si="19"/>
        <v>-30</v>
      </c>
      <c r="K42" s="828">
        <f t="shared" si="20"/>
        <v>11903.055022231893</v>
      </c>
      <c r="L42" s="828">
        <f>'[18]LAVCA Adjustment'!X43++'[16]Oct midyear LA Virtual Admy'!K42+'[19]Feb midyear adj_LA virtual '!M44</f>
        <v>-2816.8093327654492</v>
      </c>
      <c r="M42" s="829">
        <f t="shared" si="21"/>
        <v>9086.2456894664429</v>
      </c>
      <c r="N42" s="829">
        <f t="shared" si="22"/>
        <v>757</v>
      </c>
      <c r="O42" s="830">
        <f>'Table 5C1A-Madison Prep'!N45*90%</f>
        <v>3891.6</v>
      </c>
      <c r="P42" s="831">
        <f t="shared" si="23"/>
        <v>11674.8</v>
      </c>
      <c r="Q42" s="831">
        <f t="shared" si="24"/>
        <v>-29</v>
      </c>
      <c r="R42" s="831">
        <f t="shared" si="25"/>
        <v>11645.8</v>
      </c>
      <c r="S42" s="830">
        <f>'[18]LAVCA Adjustment'!AB43+'[16]Oct midyear LA Virtual Admy'!P42+'[19]Feb midyear adj_LA virtual '!S44</f>
        <v>-3580.2000000000003</v>
      </c>
      <c r="T42" s="855">
        <f t="shared" si="26"/>
        <v>8065.5999999999985</v>
      </c>
      <c r="U42" s="855">
        <f t="shared" si="27"/>
        <v>672</v>
      </c>
      <c r="V42" s="832">
        <f t="shared" si="28"/>
        <v>17151.845689466441</v>
      </c>
      <c r="W42" s="832">
        <f t="shared" si="29"/>
        <v>1429</v>
      </c>
    </row>
    <row r="43" spans="1:23" s="545" customFormat="1" ht="17.25" customHeight="1">
      <c r="A43" s="102">
        <v>40</v>
      </c>
      <c r="B43" s="798" t="s">
        <v>132</v>
      </c>
      <c r="C43" s="833">
        <f>'2-1-13 SIS'!J46</f>
        <v>32</v>
      </c>
      <c r="D43" s="834">
        <f>'Table 3 Levels 1&amp;2'!AL47*90%</f>
        <v>4435.6477016431081</v>
      </c>
      <c r="E43" s="834">
        <f t="shared" si="16"/>
        <v>141940.72645257946</v>
      </c>
      <c r="F43" s="835">
        <f>'Table 4 Level 3'!P45*90%</f>
        <v>630.24300000000005</v>
      </c>
      <c r="G43" s="835">
        <f t="shared" si="17"/>
        <v>20167.776000000002</v>
      </c>
      <c r="H43" s="835">
        <f t="shared" si="18"/>
        <v>162108.50245257947</v>
      </c>
      <c r="I43" s="835">
        <f>(('Table 3 Levels 1&amp;2'!AL47-D43)+('Table 4 Level 3'!P45-F43))*C43</f>
        <v>18012.055828064389</v>
      </c>
      <c r="J43" s="835">
        <f t="shared" si="19"/>
        <v>-405</v>
      </c>
      <c r="K43" s="836">
        <f t="shared" si="20"/>
        <v>161703.50245257947</v>
      </c>
      <c r="L43" s="836">
        <f>'[18]LAVCA Adjustment'!X44++'[16]Oct midyear LA Virtual Admy'!K43+'[19]Feb midyear adj_LA virtual '!M45</f>
        <v>-24283.580708504702</v>
      </c>
      <c r="M43" s="837">
        <f t="shared" si="21"/>
        <v>137419.92174407476</v>
      </c>
      <c r="N43" s="837">
        <f t="shared" si="22"/>
        <v>11452</v>
      </c>
      <c r="O43" s="838">
        <f>'Table 5C1A-Madison Prep'!N46*90%</f>
        <v>2706.3</v>
      </c>
      <c r="P43" s="839">
        <f t="shared" si="23"/>
        <v>86601.600000000006</v>
      </c>
      <c r="Q43" s="839">
        <f t="shared" si="24"/>
        <v>-217</v>
      </c>
      <c r="R43" s="839">
        <f t="shared" si="25"/>
        <v>86384.6</v>
      </c>
      <c r="S43" s="838">
        <f>'[18]LAVCA Adjustment'!AB44+'[16]Oct midyear LA Virtual Admy'!P43+'[19]Feb midyear adj_LA virtual '!S45</f>
        <v>-12726.000000000002</v>
      </c>
      <c r="T43" s="856">
        <f t="shared" si="26"/>
        <v>73658.600000000006</v>
      </c>
      <c r="U43" s="856">
        <f t="shared" si="27"/>
        <v>6138</v>
      </c>
      <c r="V43" s="840">
        <f t="shared" si="28"/>
        <v>211078.52174407477</v>
      </c>
      <c r="W43" s="840">
        <f t="shared" si="29"/>
        <v>17590</v>
      </c>
    </row>
    <row r="44" spans="1:23" s="545" customFormat="1" ht="17.25" customHeight="1">
      <c r="A44" s="101">
        <v>41</v>
      </c>
      <c r="B44" s="797" t="s">
        <v>133</v>
      </c>
      <c r="C44" s="817">
        <f>'2-1-13 SIS'!J47</f>
        <v>1</v>
      </c>
      <c r="D44" s="818">
        <f>'Table 3 Levels 1&amp;2'!AL48*90%</f>
        <v>1454.0412119064495</v>
      </c>
      <c r="E44" s="818">
        <f t="shared" si="16"/>
        <v>1454.0412119064495</v>
      </c>
      <c r="F44" s="819">
        <f>'Table 4 Level 3'!P46*90%</f>
        <v>797.59800000000007</v>
      </c>
      <c r="G44" s="819">
        <f t="shared" si="17"/>
        <v>797.59800000000007</v>
      </c>
      <c r="H44" s="819">
        <f t="shared" si="18"/>
        <v>2251.6392119064494</v>
      </c>
      <c r="I44" s="819">
        <f>(('Table 3 Levels 1&amp;2'!AL48-D44)+('Table 4 Level 3'!P46-F44))*C44</f>
        <v>250.18213465627207</v>
      </c>
      <c r="J44" s="819">
        <f t="shared" si="19"/>
        <v>-6</v>
      </c>
      <c r="K44" s="820">
        <f t="shared" si="20"/>
        <v>2245.6392119064494</v>
      </c>
      <c r="L44" s="820">
        <f>'[18]LAVCA Adjustment'!X45++'[16]Oct midyear LA Virtual Admy'!K44+'[19]Feb midyear adj_LA virtual '!M46</f>
        <v>0</v>
      </c>
      <c r="M44" s="821">
        <f t="shared" si="21"/>
        <v>2245.6392119064494</v>
      </c>
      <c r="N44" s="821">
        <f t="shared" si="22"/>
        <v>187</v>
      </c>
      <c r="O44" s="822">
        <f>'Table 5C1A-Madison Prep'!N47*90%</f>
        <v>8178.3</v>
      </c>
      <c r="P44" s="823">
        <f t="shared" si="23"/>
        <v>8178.3</v>
      </c>
      <c r="Q44" s="823">
        <f t="shared" si="24"/>
        <v>-20</v>
      </c>
      <c r="R44" s="823">
        <f t="shared" si="25"/>
        <v>8158.3</v>
      </c>
      <c r="S44" s="822">
        <f>'[18]LAVCA Adjustment'!AB45+'[16]Oct midyear LA Virtual Admy'!P44+'[19]Feb midyear adj_LA virtual '!S46</f>
        <v>0</v>
      </c>
      <c r="T44" s="854">
        <f t="shared" si="26"/>
        <v>8158.3</v>
      </c>
      <c r="U44" s="854">
        <f t="shared" si="27"/>
        <v>680</v>
      </c>
      <c r="V44" s="824">
        <f t="shared" si="28"/>
        <v>10403.939211906451</v>
      </c>
      <c r="W44" s="824">
        <f t="shared" si="29"/>
        <v>867</v>
      </c>
    </row>
    <row r="45" spans="1:23" s="545" customFormat="1" ht="17.25" customHeight="1">
      <c r="A45" s="101">
        <v>42</v>
      </c>
      <c r="B45" s="797" t="s">
        <v>134</v>
      </c>
      <c r="C45" s="825">
        <f>'2-1-13 SIS'!J48</f>
        <v>7</v>
      </c>
      <c r="D45" s="826">
        <f>'Table 3 Levels 1&amp;2'!AL49*90%</f>
        <v>4578.7257414889027</v>
      </c>
      <c r="E45" s="826">
        <f t="shared" si="16"/>
        <v>32051.080190422319</v>
      </c>
      <c r="F45" s="827">
        <f>'Table 4 Level 3'!P47*90%</f>
        <v>480.85199999999998</v>
      </c>
      <c r="G45" s="827">
        <f t="shared" si="17"/>
        <v>3365.9639999999999</v>
      </c>
      <c r="H45" s="827">
        <f t="shared" si="18"/>
        <v>35417.044190422319</v>
      </c>
      <c r="I45" s="827">
        <f>(('Table 3 Levels 1&amp;2'!AL49-D45)+('Table 4 Level 3'!P47-F45))*C45</f>
        <v>3935.2271322691431</v>
      </c>
      <c r="J45" s="827">
        <f t="shared" si="19"/>
        <v>-89</v>
      </c>
      <c r="K45" s="828">
        <f t="shared" si="20"/>
        <v>35328.044190422319</v>
      </c>
      <c r="L45" s="828">
        <f>'[18]LAVCA Adjustment'!X46++'[16]Oct midyear LA Virtual Admy'!K45+'[19]Feb midyear adj_LA virtual '!M47</f>
        <v>0</v>
      </c>
      <c r="M45" s="829">
        <f t="shared" si="21"/>
        <v>35328.044190422319</v>
      </c>
      <c r="N45" s="829">
        <f t="shared" si="22"/>
        <v>2944</v>
      </c>
      <c r="O45" s="830">
        <f>'Table 5C1A-Madison Prep'!N48*90%</f>
        <v>2580.3000000000002</v>
      </c>
      <c r="P45" s="831">
        <f t="shared" si="23"/>
        <v>18062.100000000002</v>
      </c>
      <c r="Q45" s="831">
        <f t="shared" si="24"/>
        <v>-45</v>
      </c>
      <c r="R45" s="831">
        <f t="shared" si="25"/>
        <v>18017.100000000002</v>
      </c>
      <c r="S45" s="830">
        <f>'[18]LAVCA Adjustment'!AB46+'[16]Oct midyear LA Virtual Admy'!P45+'[19]Feb midyear adj_LA virtual '!S47</f>
        <v>0</v>
      </c>
      <c r="T45" s="855">
        <f t="shared" si="26"/>
        <v>18017.100000000002</v>
      </c>
      <c r="U45" s="855">
        <f t="shared" si="27"/>
        <v>1501</v>
      </c>
      <c r="V45" s="832">
        <f t="shared" si="28"/>
        <v>53345.144190422317</v>
      </c>
      <c r="W45" s="832">
        <f t="shared" si="29"/>
        <v>4445</v>
      </c>
    </row>
    <row r="46" spans="1:23" s="545" customFormat="1" ht="17.25" customHeight="1">
      <c r="A46" s="101">
        <v>43</v>
      </c>
      <c r="B46" s="797" t="s">
        <v>135</v>
      </c>
      <c r="C46" s="825">
        <f>'2-1-13 SIS'!J49</f>
        <v>6</v>
      </c>
      <c r="D46" s="826">
        <f>'Table 3 Levels 1&amp;2'!AL50*90%</f>
        <v>4246.0572917452528</v>
      </c>
      <c r="E46" s="826">
        <f t="shared" si="16"/>
        <v>25476.343750471518</v>
      </c>
      <c r="F46" s="827">
        <f>'Table 4 Level 3'!P48*90%</f>
        <v>517.14899999999989</v>
      </c>
      <c r="G46" s="827">
        <f t="shared" si="17"/>
        <v>3102.8939999999993</v>
      </c>
      <c r="H46" s="827">
        <f t="shared" si="18"/>
        <v>28579.237750471519</v>
      </c>
      <c r="I46" s="827">
        <f>(('Table 3 Levels 1&amp;2'!AL50-D46)+('Table 4 Level 3'!P48-F46))*C46</f>
        <v>3175.4708611635019</v>
      </c>
      <c r="J46" s="827">
        <f t="shared" si="19"/>
        <v>-71</v>
      </c>
      <c r="K46" s="828">
        <f t="shared" si="20"/>
        <v>28508.237750471519</v>
      </c>
      <c r="L46" s="828">
        <f>'[18]LAVCA Adjustment'!X47++'[16]Oct midyear LA Virtual Admy'!K46+'[19]Feb midyear adj_LA virtual '!M48</f>
        <v>8825.2094983678362</v>
      </c>
      <c r="M46" s="829">
        <f t="shared" si="21"/>
        <v>37333.447248839351</v>
      </c>
      <c r="N46" s="829">
        <f t="shared" si="22"/>
        <v>3111</v>
      </c>
      <c r="O46" s="830">
        <f>'Table 5C1A-Madison Prep'!N49*90%</f>
        <v>3228.3</v>
      </c>
      <c r="P46" s="831">
        <f t="shared" si="23"/>
        <v>19369.800000000003</v>
      </c>
      <c r="Q46" s="831">
        <f t="shared" si="24"/>
        <v>-48</v>
      </c>
      <c r="R46" s="831">
        <f t="shared" si="25"/>
        <v>19321.800000000003</v>
      </c>
      <c r="S46" s="830">
        <f>'[18]LAVCA Adjustment'!AB47+'[16]Oct midyear LA Virtual Admy'!P46+'[19]Feb midyear adj_LA virtual '!S48</f>
        <v>7187.4000000000005</v>
      </c>
      <c r="T46" s="855">
        <f t="shared" si="26"/>
        <v>26509.200000000004</v>
      </c>
      <c r="U46" s="855">
        <f t="shared" si="27"/>
        <v>2209</v>
      </c>
      <c r="V46" s="832">
        <f t="shared" si="28"/>
        <v>63842.647248839356</v>
      </c>
      <c r="W46" s="832">
        <f t="shared" si="29"/>
        <v>5320</v>
      </c>
    </row>
    <row r="47" spans="1:23" s="545" customFormat="1" ht="17.25" customHeight="1">
      <c r="A47" s="101">
        <v>44</v>
      </c>
      <c r="B47" s="797" t="s">
        <v>136</v>
      </c>
      <c r="C47" s="825">
        <f>'2-1-13 SIS'!J50</f>
        <v>3</v>
      </c>
      <c r="D47" s="826">
        <f>'Table 3 Levels 1&amp;2'!AL51*90%</f>
        <v>4226.9599105433163</v>
      </c>
      <c r="E47" s="826">
        <f t="shared" si="16"/>
        <v>12680.87973162995</v>
      </c>
      <c r="F47" s="827">
        <f>'Table 4 Level 3'!P49*90%</f>
        <v>596.84400000000005</v>
      </c>
      <c r="G47" s="827">
        <f t="shared" si="17"/>
        <v>1790.5320000000002</v>
      </c>
      <c r="H47" s="827">
        <f t="shared" si="18"/>
        <v>14471.411731629949</v>
      </c>
      <c r="I47" s="827">
        <f>(('Table 3 Levels 1&amp;2'!AL51-D47)+('Table 4 Level 3'!P49-F47))*C47</f>
        <v>1607.9346368477707</v>
      </c>
      <c r="J47" s="827">
        <f t="shared" si="19"/>
        <v>-36</v>
      </c>
      <c r="K47" s="828">
        <f t="shared" si="20"/>
        <v>14435.411731629949</v>
      </c>
      <c r="L47" s="828">
        <f>'[18]LAVCA Adjustment'!X48++'[16]Oct midyear LA Virtual Admy'!K47+'[19]Feb midyear adj_LA virtual '!M49</f>
        <v>2259.1815591036734</v>
      </c>
      <c r="M47" s="829">
        <f t="shared" si="21"/>
        <v>16694.593290733621</v>
      </c>
      <c r="N47" s="829">
        <f t="shared" si="22"/>
        <v>1391</v>
      </c>
      <c r="O47" s="830">
        <f>'Table 5C1A-Madison Prep'!N50*90%</f>
        <v>4104.9000000000005</v>
      </c>
      <c r="P47" s="831">
        <f t="shared" si="23"/>
        <v>12314.7</v>
      </c>
      <c r="Q47" s="831">
        <f t="shared" si="24"/>
        <v>-31</v>
      </c>
      <c r="R47" s="831">
        <f t="shared" si="25"/>
        <v>12283.7</v>
      </c>
      <c r="S47" s="830">
        <f>'[18]LAVCA Adjustment'!AB48+'[16]Oct midyear LA Virtual Admy'!P47+'[19]Feb midyear adj_LA virtual '!S49</f>
        <v>2327.85</v>
      </c>
      <c r="T47" s="855">
        <f t="shared" si="26"/>
        <v>14611.550000000001</v>
      </c>
      <c r="U47" s="855">
        <f t="shared" si="27"/>
        <v>1218</v>
      </c>
      <c r="V47" s="832">
        <f t="shared" si="28"/>
        <v>31306.14329073362</v>
      </c>
      <c r="W47" s="832">
        <f t="shared" si="29"/>
        <v>2609</v>
      </c>
    </row>
    <row r="48" spans="1:23" s="545" customFormat="1" ht="17.25" customHeight="1">
      <c r="A48" s="102">
        <v>45</v>
      </c>
      <c r="B48" s="798" t="s">
        <v>137</v>
      </c>
      <c r="C48" s="833">
        <f>'2-1-13 SIS'!J51</f>
        <v>2</v>
      </c>
      <c r="D48" s="834">
        <f>'Table 3 Levels 1&amp;2'!AL52*90%</f>
        <v>1973.2423085039036</v>
      </c>
      <c r="E48" s="834">
        <f t="shared" si="16"/>
        <v>3946.4846170078072</v>
      </c>
      <c r="F48" s="835">
        <f>'Table 4 Level 3'!P50*90%</f>
        <v>678.56400000000019</v>
      </c>
      <c r="G48" s="835">
        <f t="shared" si="17"/>
        <v>1357.1280000000004</v>
      </c>
      <c r="H48" s="835">
        <f t="shared" si="18"/>
        <v>5303.6126170078078</v>
      </c>
      <c r="I48" s="835">
        <f>(('Table 3 Levels 1&amp;2'!AL52-D48)+('Table 4 Level 3'!P50-F48))*C48</f>
        <v>589.29029077864516</v>
      </c>
      <c r="J48" s="835">
        <f t="shared" si="19"/>
        <v>-13</v>
      </c>
      <c r="K48" s="836">
        <f t="shared" si="20"/>
        <v>5290.6126170078078</v>
      </c>
      <c r="L48" s="836">
        <f>'[18]LAVCA Adjustment'!X49++'[16]Oct midyear LA Virtual Admy'!K48+'[19]Feb midyear adj_LA virtual '!M50</f>
        <v>0</v>
      </c>
      <c r="M48" s="837">
        <f t="shared" si="21"/>
        <v>5290.6126170078078</v>
      </c>
      <c r="N48" s="837">
        <f t="shared" si="22"/>
        <v>441</v>
      </c>
      <c r="O48" s="838">
        <f>'Table 5C1A-Madison Prep'!N51*90%</f>
        <v>10158.300000000001</v>
      </c>
      <c r="P48" s="839">
        <f t="shared" si="23"/>
        <v>20316.600000000002</v>
      </c>
      <c r="Q48" s="839">
        <f t="shared" si="24"/>
        <v>-51</v>
      </c>
      <c r="R48" s="839">
        <f t="shared" si="25"/>
        <v>20265.600000000002</v>
      </c>
      <c r="S48" s="838">
        <f>'[18]LAVCA Adjustment'!AB49+'[16]Oct midyear LA Virtual Admy'!P48+'[19]Feb midyear adj_LA virtual '!S50</f>
        <v>0</v>
      </c>
      <c r="T48" s="856">
        <f t="shared" si="26"/>
        <v>20265.600000000002</v>
      </c>
      <c r="U48" s="856">
        <f t="shared" si="27"/>
        <v>1689</v>
      </c>
      <c r="V48" s="840">
        <f t="shared" si="28"/>
        <v>25556.212617007812</v>
      </c>
      <c r="W48" s="840">
        <f t="shared" si="29"/>
        <v>2130</v>
      </c>
    </row>
    <row r="49" spans="1:23" s="545" customFormat="1" ht="17.25" customHeight="1">
      <c r="A49" s="101">
        <v>46</v>
      </c>
      <c r="B49" s="797" t="s">
        <v>138</v>
      </c>
      <c r="C49" s="817">
        <f>'2-1-13 SIS'!J52</f>
        <v>9</v>
      </c>
      <c r="D49" s="818">
        <f>'Table 3 Levels 1&amp;2'!AL53*90%</f>
        <v>5080.1939203717475</v>
      </c>
      <c r="E49" s="818">
        <f t="shared" si="16"/>
        <v>45721.745283345728</v>
      </c>
      <c r="F49" s="819">
        <f>'Table 4 Level 3'!P51*90%</f>
        <v>655.25400000000002</v>
      </c>
      <c r="G49" s="819">
        <f t="shared" si="17"/>
        <v>5897.2860000000001</v>
      </c>
      <c r="H49" s="819">
        <f t="shared" si="18"/>
        <v>51619.031283345728</v>
      </c>
      <c r="I49" s="819">
        <f>(('Table 3 Levels 1&amp;2'!AL53-D49)+('Table 4 Level 3'!P51-F49))*C49</f>
        <v>5735.4479203717419</v>
      </c>
      <c r="J49" s="819">
        <f t="shared" si="19"/>
        <v>-129</v>
      </c>
      <c r="K49" s="820">
        <f t="shared" si="20"/>
        <v>51490.031283345728</v>
      </c>
      <c r="L49" s="820">
        <f>'[18]LAVCA Adjustment'!X50++'[16]Oct midyear LA Virtual Admy'!K49+'[19]Feb midyear adj_LA virtual '!M51</f>
        <v>-2938.5769544910254</v>
      </c>
      <c r="M49" s="821">
        <f t="shared" si="21"/>
        <v>48551.454328854699</v>
      </c>
      <c r="N49" s="821">
        <f t="shared" si="22"/>
        <v>4046</v>
      </c>
      <c r="O49" s="822">
        <f>'Table 5C1A-Madison Prep'!N52*90%</f>
        <v>1935</v>
      </c>
      <c r="P49" s="823">
        <f t="shared" si="23"/>
        <v>17415</v>
      </c>
      <c r="Q49" s="823">
        <f t="shared" si="24"/>
        <v>-44</v>
      </c>
      <c r="R49" s="823">
        <f t="shared" si="25"/>
        <v>17371</v>
      </c>
      <c r="S49" s="822">
        <f>'[18]LAVCA Adjustment'!AB50+'[16]Oct midyear LA Virtual Admy'!P49+'[19]Feb midyear adj_LA virtual '!S51</f>
        <v>-794.7</v>
      </c>
      <c r="T49" s="854">
        <f t="shared" si="26"/>
        <v>16576.3</v>
      </c>
      <c r="U49" s="854">
        <f t="shared" si="27"/>
        <v>1381</v>
      </c>
      <c r="V49" s="824">
        <f t="shared" si="28"/>
        <v>65127.754328854702</v>
      </c>
      <c r="W49" s="824">
        <f t="shared" si="29"/>
        <v>5427</v>
      </c>
    </row>
    <row r="50" spans="1:23" s="545" customFormat="1" ht="17.25" customHeight="1">
      <c r="A50" s="101">
        <v>47</v>
      </c>
      <c r="B50" s="797" t="s">
        <v>139</v>
      </c>
      <c r="C50" s="825">
        <f>'2-1-13 SIS'!J53</f>
        <v>2</v>
      </c>
      <c r="D50" s="826">
        <f>'Table 3 Levels 1&amp;2'!AL54*90%</f>
        <v>2458.1199668599834</v>
      </c>
      <c r="E50" s="826">
        <f t="shared" si="16"/>
        <v>4916.2399337199668</v>
      </c>
      <c r="F50" s="827">
        <f>'Table 4 Level 3'!P52*90%</f>
        <v>819.68399999999997</v>
      </c>
      <c r="G50" s="827">
        <f t="shared" si="17"/>
        <v>1639.3679999999999</v>
      </c>
      <c r="H50" s="827">
        <f t="shared" si="18"/>
        <v>6555.6079337199662</v>
      </c>
      <c r="I50" s="827">
        <f>(('Table 3 Levels 1&amp;2'!AL54-D50)+('Table 4 Level 3'!P52-F50))*C50</f>
        <v>728.40088152444059</v>
      </c>
      <c r="J50" s="827">
        <f t="shared" si="19"/>
        <v>-16</v>
      </c>
      <c r="K50" s="828">
        <f t="shared" si="20"/>
        <v>6539.6079337199662</v>
      </c>
      <c r="L50" s="828">
        <f>'[18]LAVCA Adjustment'!X51++'[16]Oct midyear LA Virtual Admy'!K50+'[19]Feb midyear adj_LA virtual '!M52</f>
        <v>-3917.8147624872336</v>
      </c>
      <c r="M50" s="829">
        <f t="shared" si="21"/>
        <v>2621.7931712327327</v>
      </c>
      <c r="N50" s="829">
        <f t="shared" si="22"/>
        <v>218</v>
      </c>
      <c r="O50" s="830">
        <f>'Table 5C1A-Madison Prep'!N53*90%</f>
        <v>11952</v>
      </c>
      <c r="P50" s="831">
        <f t="shared" si="23"/>
        <v>23904</v>
      </c>
      <c r="Q50" s="831">
        <f t="shared" si="24"/>
        <v>-60</v>
      </c>
      <c r="R50" s="831">
        <f t="shared" si="25"/>
        <v>23844</v>
      </c>
      <c r="S50" s="830">
        <f>'[18]LAVCA Adjustment'!AB51+'[16]Oct midyear LA Virtual Admy'!P50+'[19]Feb midyear adj_LA virtual '!S52</f>
        <v>-8779.5</v>
      </c>
      <c r="T50" s="855">
        <f t="shared" si="26"/>
        <v>15064.5</v>
      </c>
      <c r="U50" s="855">
        <f t="shared" si="27"/>
        <v>1255</v>
      </c>
      <c r="V50" s="832">
        <f t="shared" si="28"/>
        <v>17686.293171232734</v>
      </c>
      <c r="W50" s="832">
        <f t="shared" si="29"/>
        <v>1473</v>
      </c>
    </row>
    <row r="51" spans="1:23" s="545" customFormat="1" ht="17.25" customHeight="1">
      <c r="A51" s="101">
        <v>48</v>
      </c>
      <c r="B51" s="797" t="s">
        <v>197</v>
      </c>
      <c r="C51" s="825">
        <f>'2-1-13 SIS'!J54</f>
        <v>29</v>
      </c>
      <c r="D51" s="826">
        <f>'Table 3 Levels 1&amp;2'!AL55*90%</f>
        <v>3845.4509907755478</v>
      </c>
      <c r="E51" s="826">
        <f t="shared" si="16"/>
        <v>111518.07873249089</v>
      </c>
      <c r="F51" s="827">
        <f>'Table 4 Level 3'!P53*90%</f>
        <v>783.96300000000008</v>
      </c>
      <c r="G51" s="827">
        <f t="shared" si="17"/>
        <v>22734.927000000003</v>
      </c>
      <c r="H51" s="827">
        <f t="shared" si="18"/>
        <v>134253.00573249088</v>
      </c>
      <c r="I51" s="827">
        <f>(('Table 3 Levels 1&amp;2'!AL55-D51)+('Table 4 Level 3'!P53-F51))*C51</f>
        <v>14917.00063694343</v>
      </c>
      <c r="J51" s="827">
        <f t="shared" si="19"/>
        <v>-336</v>
      </c>
      <c r="K51" s="828">
        <f t="shared" si="20"/>
        <v>133917.00573249088</v>
      </c>
      <c r="L51" s="828">
        <f>'[18]LAVCA Adjustment'!X52++'[16]Oct midyear LA Virtual Admy'!K51+'[19]Feb midyear adj_LA virtual '!M53</f>
        <v>5850.9505496013035</v>
      </c>
      <c r="M51" s="829">
        <f t="shared" si="21"/>
        <v>139767.9562820922</v>
      </c>
      <c r="N51" s="829">
        <f t="shared" si="22"/>
        <v>11647</v>
      </c>
      <c r="O51" s="830">
        <f>'Table 5C1A-Madison Prep'!N54*90%</f>
        <v>5807.7</v>
      </c>
      <c r="P51" s="831">
        <f t="shared" si="23"/>
        <v>168423.3</v>
      </c>
      <c r="Q51" s="831">
        <f t="shared" si="24"/>
        <v>-421</v>
      </c>
      <c r="R51" s="831">
        <f t="shared" si="25"/>
        <v>168002.3</v>
      </c>
      <c r="S51" s="830">
        <f>'[18]LAVCA Adjustment'!AB52+'[16]Oct midyear LA Virtual Admy'!P51+'[19]Feb midyear adj_LA virtual '!S53</f>
        <v>6933.6</v>
      </c>
      <c r="T51" s="855">
        <f t="shared" si="26"/>
        <v>174935.9</v>
      </c>
      <c r="U51" s="855">
        <f t="shared" si="27"/>
        <v>14578</v>
      </c>
      <c r="V51" s="832">
        <f t="shared" si="28"/>
        <v>314703.85628209217</v>
      </c>
      <c r="W51" s="832">
        <f t="shared" si="29"/>
        <v>26225</v>
      </c>
    </row>
    <row r="52" spans="1:23" s="545" customFormat="1" ht="17.25" customHeight="1">
      <c r="A52" s="101">
        <v>49</v>
      </c>
      <c r="B52" s="797" t="s">
        <v>140</v>
      </c>
      <c r="C52" s="825">
        <f>'2-1-13 SIS'!J55</f>
        <v>47</v>
      </c>
      <c r="D52" s="826">
        <f>'Table 3 Levels 1&amp;2'!AL56*90%</f>
        <v>4353.0383313299299</v>
      </c>
      <c r="E52" s="826">
        <f t="shared" si="16"/>
        <v>204592.80157250669</v>
      </c>
      <c r="F52" s="827">
        <f>'Table 4 Level 3'!P54*90%</f>
        <v>516.99599999999998</v>
      </c>
      <c r="G52" s="827">
        <f t="shared" si="17"/>
        <v>24298.811999999998</v>
      </c>
      <c r="H52" s="827">
        <f t="shared" si="18"/>
        <v>228891.6135725067</v>
      </c>
      <c r="I52" s="827">
        <f>(('Table 3 Levels 1&amp;2'!AL56-D52)+('Table 4 Level 3'!P54-F52))*C52</f>
        <v>25432.401508056289</v>
      </c>
      <c r="J52" s="827">
        <f t="shared" si="19"/>
        <v>-572</v>
      </c>
      <c r="K52" s="828">
        <f t="shared" si="20"/>
        <v>228319.6135725067</v>
      </c>
      <c r="L52" s="828">
        <f>'[18]LAVCA Adjustment'!X53++'[16]Oct midyear LA Virtual Admy'!K52+'[19]Feb midyear adj_LA virtual '!M54</f>
        <v>635.83885380853303</v>
      </c>
      <c r="M52" s="829">
        <f t="shared" si="21"/>
        <v>228955.45242631523</v>
      </c>
      <c r="N52" s="829">
        <f t="shared" si="22"/>
        <v>19080</v>
      </c>
      <c r="O52" s="830">
        <f>'Table 5C1A-Madison Prep'!N55*90%</f>
        <v>2058.3000000000002</v>
      </c>
      <c r="P52" s="831">
        <f t="shared" si="23"/>
        <v>96740.1</v>
      </c>
      <c r="Q52" s="831">
        <f t="shared" si="24"/>
        <v>-242</v>
      </c>
      <c r="R52" s="831">
        <f t="shared" si="25"/>
        <v>96498.1</v>
      </c>
      <c r="S52" s="830">
        <f>'[18]LAVCA Adjustment'!AB53+'[16]Oct midyear LA Virtual Admy'!P52+'[19]Feb midyear adj_LA virtual '!S54</f>
        <v>1005.75</v>
      </c>
      <c r="T52" s="855">
        <f t="shared" si="26"/>
        <v>97503.85</v>
      </c>
      <c r="U52" s="855">
        <f t="shared" si="27"/>
        <v>8125</v>
      </c>
      <c r="V52" s="832">
        <f t="shared" si="28"/>
        <v>326459.30242631526</v>
      </c>
      <c r="W52" s="832">
        <f t="shared" si="29"/>
        <v>27205</v>
      </c>
    </row>
    <row r="53" spans="1:23" s="545" customFormat="1" ht="17.25" customHeight="1">
      <c r="A53" s="102">
        <v>50</v>
      </c>
      <c r="B53" s="798" t="s">
        <v>141</v>
      </c>
      <c r="C53" s="833">
        <f>'2-1-13 SIS'!J56</f>
        <v>10</v>
      </c>
      <c r="D53" s="834">
        <f>'Table 3 Levels 1&amp;2'!AL57*90%</f>
        <v>4529.4176605515404</v>
      </c>
      <c r="E53" s="834">
        <f t="shared" si="16"/>
        <v>45294.1766055154</v>
      </c>
      <c r="F53" s="835">
        <f>'Table 4 Level 3'!P55*90%</f>
        <v>571.01400000000001</v>
      </c>
      <c r="G53" s="835">
        <f t="shared" si="17"/>
        <v>5710.14</v>
      </c>
      <c r="H53" s="835">
        <f t="shared" si="18"/>
        <v>51004.3166055154</v>
      </c>
      <c r="I53" s="835">
        <f>(('Table 3 Levels 1&amp;2'!AL57-D53)+('Table 4 Level 3'!P55-F53))*C53</f>
        <v>5667.1462895017075</v>
      </c>
      <c r="J53" s="835">
        <f t="shared" si="19"/>
        <v>-128</v>
      </c>
      <c r="K53" s="836">
        <f t="shared" si="20"/>
        <v>50876.3166055154</v>
      </c>
      <c r="L53" s="836">
        <f>'[18]LAVCA Adjustment'!X54++'[16]Oct midyear LA Virtual Admy'!K53+'[19]Feb midyear adj_LA virtual '!M55</f>
        <v>-7696.1181893352732</v>
      </c>
      <c r="M53" s="837">
        <f t="shared" si="21"/>
        <v>43180.198416180123</v>
      </c>
      <c r="N53" s="837">
        <f t="shared" si="22"/>
        <v>3598</v>
      </c>
      <c r="O53" s="838">
        <f>'Table 5C1A-Madison Prep'!N56*90%</f>
        <v>2520.9</v>
      </c>
      <c r="P53" s="839">
        <f t="shared" si="23"/>
        <v>25209</v>
      </c>
      <c r="Q53" s="839">
        <f t="shared" si="24"/>
        <v>-63</v>
      </c>
      <c r="R53" s="839">
        <f t="shared" si="25"/>
        <v>25146</v>
      </c>
      <c r="S53" s="838">
        <f>'[18]LAVCA Adjustment'!AB54+'[16]Oct midyear LA Virtual Admy'!P53+'[19]Feb midyear adj_LA virtual '!S55</f>
        <v>-3420.8999999999996</v>
      </c>
      <c r="T53" s="856">
        <f t="shared" si="26"/>
        <v>21725.1</v>
      </c>
      <c r="U53" s="856">
        <f t="shared" si="27"/>
        <v>1810</v>
      </c>
      <c r="V53" s="840">
        <f t="shared" si="28"/>
        <v>64905.298416180121</v>
      </c>
      <c r="W53" s="840">
        <f t="shared" si="29"/>
        <v>5408</v>
      </c>
    </row>
    <row r="54" spans="1:23" s="545" customFormat="1" ht="17.25" customHeight="1">
      <c r="A54" s="101">
        <v>51</v>
      </c>
      <c r="B54" s="797" t="s">
        <v>142</v>
      </c>
      <c r="C54" s="817">
        <f>'2-1-13 SIS'!J57</f>
        <v>1</v>
      </c>
      <c r="D54" s="818">
        <f>'Table 3 Levels 1&amp;2'!AL58*90%</f>
        <v>3821.4305885514241</v>
      </c>
      <c r="E54" s="818">
        <f t="shared" si="16"/>
        <v>3821.4305885514241</v>
      </c>
      <c r="F54" s="819">
        <f>'Table 4 Level 3'!P56*90%</f>
        <v>635.99400000000003</v>
      </c>
      <c r="G54" s="819">
        <f t="shared" si="17"/>
        <v>635.99400000000003</v>
      </c>
      <c r="H54" s="819">
        <f t="shared" si="18"/>
        <v>4457.4245885514238</v>
      </c>
      <c r="I54" s="819">
        <f>(('Table 3 Levels 1&amp;2'!AL58-D54)+('Table 4 Level 3'!P56-F54))*C54</f>
        <v>495.26939872793605</v>
      </c>
      <c r="J54" s="819">
        <f t="shared" si="19"/>
        <v>-11</v>
      </c>
      <c r="K54" s="820">
        <f t="shared" si="20"/>
        <v>4446.4245885514238</v>
      </c>
      <c r="L54" s="820">
        <f>'[18]LAVCA Adjustment'!X55++'[16]Oct midyear LA Virtual Admy'!K54+'[19]Feb midyear adj_LA virtual '!M56</f>
        <v>-11801.782220396395</v>
      </c>
      <c r="M54" s="821">
        <f t="shared" si="21"/>
        <v>-7355.3576318449714</v>
      </c>
      <c r="N54" s="821">
        <f t="shared" si="22"/>
        <v>-613</v>
      </c>
      <c r="O54" s="822">
        <f>'Table 5C1A-Madison Prep'!N57*90%</f>
        <v>3793.5</v>
      </c>
      <c r="P54" s="823">
        <f t="shared" si="23"/>
        <v>3793.5</v>
      </c>
      <c r="Q54" s="823">
        <f t="shared" si="24"/>
        <v>-9</v>
      </c>
      <c r="R54" s="823">
        <f t="shared" si="25"/>
        <v>3784.5</v>
      </c>
      <c r="S54" s="822">
        <f>'[18]LAVCA Adjustment'!AB55+'[16]Oct midyear LA Virtual Admy'!P54+'[19]Feb midyear adj_LA virtual '!S56</f>
        <v>-9094.5</v>
      </c>
      <c r="T54" s="854">
        <f t="shared" si="26"/>
        <v>-5310</v>
      </c>
      <c r="U54" s="854">
        <f t="shared" si="27"/>
        <v>-443</v>
      </c>
      <c r="V54" s="824">
        <f t="shared" si="28"/>
        <v>-12665.35763184497</v>
      </c>
      <c r="W54" s="824">
        <f t="shared" si="29"/>
        <v>-1056</v>
      </c>
    </row>
    <row r="55" spans="1:23" s="545" customFormat="1" ht="17.25" customHeight="1">
      <c r="A55" s="101">
        <v>52</v>
      </c>
      <c r="B55" s="797" t="s">
        <v>143</v>
      </c>
      <c r="C55" s="825">
        <f>'2-1-13 SIS'!J58</f>
        <v>68</v>
      </c>
      <c r="D55" s="826">
        <f>'Table 3 Levels 1&amp;2'!AL59*90%</f>
        <v>4512.0994245101929</v>
      </c>
      <c r="E55" s="826">
        <f t="shared" si="16"/>
        <v>306822.7608666931</v>
      </c>
      <c r="F55" s="827">
        <f>'Table 4 Level 3'!P57*90%</f>
        <v>592.53300000000002</v>
      </c>
      <c r="G55" s="827">
        <f t="shared" si="17"/>
        <v>40292.243999999999</v>
      </c>
      <c r="H55" s="827">
        <f t="shared" si="18"/>
        <v>347115.00486669311</v>
      </c>
      <c r="I55" s="827">
        <f>(('Table 3 Levels 1&amp;2'!AL59-D55)+('Table 4 Level 3'!P57-F55))*C55</f>
        <v>38568.333874076976</v>
      </c>
      <c r="J55" s="827">
        <f t="shared" si="19"/>
        <v>-868</v>
      </c>
      <c r="K55" s="828">
        <f t="shared" si="20"/>
        <v>346247.00486669311</v>
      </c>
      <c r="L55" s="828">
        <f>'[18]LAVCA Adjustment'!X56++'[16]Oct midyear LA Virtual Admy'!K55+'[19]Feb midyear adj_LA virtual '!M57</f>
        <v>12138.590103237681</v>
      </c>
      <c r="M55" s="829">
        <f t="shared" si="21"/>
        <v>358385.59496993077</v>
      </c>
      <c r="N55" s="829">
        <f t="shared" si="22"/>
        <v>29865</v>
      </c>
      <c r="O55" s="830">
        <f>'Table 5C1A-Madison Prep'!N58*90%</f>
        <v>4400.1000000000004</v>
      </c>
      <c r="P55" s="831">
        <f t="shared" si="23"/>
        <v>299206.80000000005</v>
      </c>
      <c r="Q55" s="831">
        <f t="shared" si="24"/>
        <v>-748</v>
      </c>
      <c r="R55" s="831">
        <f t="shared" si="25"/>
        <v>298458.80000000005</v>
      </c>
      <c r="S55" s="830">
        <f>'[18]LAVCA Adjustment'!AB56+'[16]Oct midyear LA Virtual Admy'!P55+'[19]Feb midyear adj_LA virtual '!S57</f>
        <v>8679.6</v>
      </c>
      <c r="T55" s="855">
        <f t="shared" si="26"/>
        <v>307138.40000000002</v>
      </c>
      <c r="U55" s="855">
        <f t="shared" si="27"/>
        <v>25595</v>
      </c>
      <c r="V55" s="832">
        <f t="shared" si="28"/>
        <v>665523.99496993073</v>
      </c>
      <c r="W55" s="832">
        <f t="shared" si="29"/>
        <v>55460</v>
      </c>
    </row>
    <row r="56" spans="1:23" s="545" customFormat="1" ht="17.25" customHeight="1">
      <c r="A56" s="101">
        <v>53</v>
      </c>
      <c r="B56" s="797" t="s">
        <v>144</v>
      </c>
      <c r="C56" s="825">
        <f>'2-1-13 SIS'!J59</f>
        <v>51</v>
      </c>
      <c r="D56" s="826">
        <f>'Table 3 Levels 1&amp;2'!AL60*90%</f>
        <v>4298.0289872022986</v>
      </c>
      <c r="E56" s="826">
        <f t="shared" si="16"/>
        <v>219199.47834731723</v>
      </c>
      <c r="F56" s="827">
        <f>'Table 4 Level 3'!P58*90%</f>
        <v>620.76600000000008</v>
      </c>
      <c r="G56" s="827">
        <f t="shared" si="17"/>
        <v>31659.066000000003</v>
      </c>
      <c r="H56" s="827">
        <f t="shared" si="18"/>
        <v>250858.54434731722</v>
      </c>
      <c r="I56" s="827">
        <f>(('Table 3 Levels 1&amp;2'!AL60-D56)+('Table 4 Level 3'!P58-F56))*C56</f>
        <v>27873.171594146334</v>
      </c>
      <c r="J56" s="827">
        <f t="shared" si="19"/>
        <v>-627</v>
      </c>
      <c r="K56" s="828">
        <f t="shared" si="20"/>
        <v>250231.54434731722</v>
      </c>
      <c r="L56" s="828">
        <f>'[18]LAVCA Adjustment'!X57++'[16]Oct midyear LA Virtual Admy'!K56+'[19]Feb midyear adj_LA virtual '!M58</f>
        <v>8300.5024681668292</v>
      </c>
      <c r="M56" s="829">
        <f t="shared" si="21"/>
        <v>258532.04681548406</v>
      </c>
      <c r="N56" s="829">
        <f t="shared" si="22"/>
        <v>21544</v>
      </c>
      <c r="O56" s="830">
        <f>'Table 5C1A-Madison Prep'!N59*90%</f>
        <v>1907.1000000000001</v>
      </c>
      <c r="P56" s="831">
        <f t="shared" si="23"/>
        <v>97262.1</v>
      </c>
      <c r="Q56" s="831">
        <f t="shared" si="24"/>
        <v>-243</v>
      </c>
      <c r="R56" s="831">
        <f t="shared" si="25"/>
        <v>97019.1</v>
      </c>
      <c r="S56" s="830">
        <f>'[18]LAVCA Adjustment'!AB57+'[16]Oct midyear LA Virtual Admy'!P56+'[19]Feb midyear adj_LA virtual '!S58</f>
        <v>2589.3000000000002</v>
      </c>
      <c r="T56" s="855">
        <f t="shared" si="26"/>
        <v>99608.400000000009</v>
      </c>
      <c r="U56" s="855">
        <f t="shared" si="27"/>
        <v>8301</v>
      </c>
      <c r="V56" s="832">
        <f t="shared" si="28"/>
        <v>358140.44681548409</v>
      </c>
      <c r="W56" s="832">
        <f t="shared" si="29"/>
        <v>29845</v>
      </c>
    </row>
    <row r="57" spans="1:23" s="545" customFormat="1" ht="17.25" customHeight="1">
      <c r="A57" s="101">
        <v>54</v>
      </c>
      <c r="B57" s="797" t="s">
        <v>145</v>
      </c>
      <c r="C57" s="825">
        <f>'2-1-13 SIS'!J60</f>
        <v>0</v>
      </c>
      <c r="D57" s="826">
        <f>'Table 3 Levels 1&amp;2'!AL61*90%</f>
        <v>5356.6208447648096</v>
      </c>
      <c r="E57" s="826">
        <f t="shared" si="16"/>
        <v>0</v>
      </c>
      <c r="F57" s="827">
        <f>'Table 4 Level 3'!P59*90%</f>
        <v>856.30500000000006</v>
      </c>
      <c r="G57" s="827">
        <f t="shared" si="17"/>
        <v>0</v>
      </c>
      <c r="H57" s="827">
        <f t="shared" si="18"/>
        <v>0</v>
      </c>
      <c r="I57" s="827">
        <f>(('Table 3 Levels 1&amp;2'!AL61-D57)+('Table 4 Level 3'!P59-F57))*C57</f>
        <v>0</v>
      </c>
      <c r="J57" s="827">
        <f t="shared" si="19"/>
        <v>0</v>
      </c>
      <c r="K57" s="828">
        <f t="shared" si="20"/>
        <v>0</v>
      </c>
      <c r="L57" s="828">
        <f>'[18]LAVCA Adjustment'!X58++'[16]Oct midyear LA Virtual Admy'!K57+'[19]Feb midyear adj_LA virtual '!M59</f>
        <v>0</v>
      </c>
      <c r="M57" s="829">
        <f t="shared" si="21"/>
        <v>0</v>
      </c>
      <c r="N57" s="829">
        <f t="shared" si="22"/>
        <v>0</v>
      </c>
      <c r="O57" s="830">
        <f>'Table 5C1A-Madison Prep'!N60*90%</f>
        <v>3321</v>
      </c>
      <c r="P57" s="831">
        <f t="shared" si="23"/>
        <v>0</v>
      </c>
      <c r="Q57" s="831">
        <f t="shared" si="24"/>
        <v>0</v>
      </c>
      <c r="R57" s="831">
        <f t="shared" si="25"/>
        <v>0</v>
      </c>
      <c r="S57" s="830">
        <f>'[18]LAVCA Adjustment'!AB58+'[16]Oct midyear LA Virtual Admy'!P57+'[19]Feb midyear adj_LA virtual '!S59</f>
        <v>0</v>
      </c>
      <c r="T57" s="855">
        <f t="shared" si="26"/>
        <v>0</v>
      </c>
      <c r="U57" s="855">
        <f t="shared" si="27"/>
        <v>0</v>
      </c>
      <c r="V57" s="832">
        <f t="shared" si="28"/>
        <v>0</v>
      </c>
      <c r="W57" s="832">
        <f t="shared" si="29"/>
        <v>0</v>
      </c>
    </row>
    <row r="58" spans="1:23" s="545" customFormat="1" ht="17.25" customHeight="1">
      <c r="A58" s="102">
        <v>55</v>
      </c>
      <c r="B58" s="798" t="s">
        <v>146</v>
      </c>
      <c r="C58" s="833">
        <f>'2-1-13 SIS'!J61</f>
        <v>21</v>
      </c>
      <c r="D58" s="834">
        <f>'Table 3 Levels 1&amp;2'!AL62*90%</f>
        <v>3753.9391261709843</v>
      </c>
      <c r="E58" s="834">
        <f t="shared" si="16"/>
        <v>78832.721649590676</v>
      </c>
      <c r="F58" s="835">
        <f>'Table 4 Level 3'!P60*90%</f>
        <v>715.62599999999998</v>
      </c>
      <c r="G58" s="835">
        <f t="shared" si="17"/>
        <v>15028.145999999999</v>
      </c>
      <c r="H58" s="835">
        <f t="shared" si="18"/>
        <v>93860.867649590669</v>
      </c>
      <c r="I58" s="835">
        <f>(('Table 3 Levels 1&amp;2'!AL62-D58)+('Table 4 Level 3'!P60-F58))*C58</f>
        <v>10428.985294398959</v>
      </c>
      <c r="J58" s="835">
        <f t="shared" si="19"/>
        <v>-235</v>
      </c>
      <c r="K58" s="836">
        <f t="shared" si="20"/>
        <v>93625.867649590669</v>
      </c>
      <c r="L58" s="836">
        <f>'[18]LAVCA Adjustment'!X59++'[16]Oct midyear LA Virtual Admy'!K58+'[19]Feb midyear adj_LA virtual '!M60</f>
        <v>-9666.2964213567284</v>
      </c>
      <c r="M58" s="837">
        <f t="shared" si="21"/>
        <v>83959.571228233937</v>
      </c>
      <c r="N58" s="837">
        <f t="shared" si="22"/>
        <v>6997</v>
      </c>
      <c r="O58" s="838">
        <f>'Table 5C1A-Madison Prep'!N61*90%</f>
        <v>2841.3</v>
      </c>
      <c r="P58" s="839">
        <f t="shared" si="23"/>
        <v>59667.3</v>
      </c>
      <c r="Q58" s="839">
        <f t="shared" si="24"/>
        <v>-149</v>
      </c>
      <c r="R58" s="839">
        <f t="shared" si="25"/>
        <v>59518.3</v>
      </c>
      <c r="S58" s="838">
        <f>'[18]LAVCA Adjustment'!AB59+'[16]Oct midyear LA Virtual Admy'!P58+'[19]Feb midyear adj_LA virtual '!S60</f>
        <v>-4079.7000000000003</v>
      </c>
      <c r="T58" s="856">
        <f t="shared" si="26"/>
        <v>55438.600000000006</v>
      </c>
      <c r="U58" s="856">
        <f t="shared" si="27"/>
        <v>4620</v>
      </c>
      <c r="V58" s="840">
        <f t="shared" si="28"/>
        <v>139398.17122823396</v>
      </c>
      <c r="W58" s="840">
        <f t="shared" si="29"/>
        <v>11617</v>
      </c>
    </row>
    <row r="59" spans="1:23" s="545" customFormat="1" ht="17.25" customHeight="1">
      <c r="A59" s="101">
        <v>56</v>
      </c>
      <c r="B59" s="797" t="s">
        <v>147</v>
      </c>
      <c r="C59" s="817">
        <f>'2-1-13 SIS'!J62</f>
        <v>7</v>
      </c>
      <c r="D59" s="818">
        <f>'Table 3 Levels 1&amp;2'!AL63*90%</f>
        <v>4471.7338707054541</v>
      </c>
      <c r="E59" s="818">
        <f t="shared" si="16"/>
        <v>31302.137094938178</v>
      </c>
      <c r="F59" s="819">
        <f>'Table 4 Level 3'!P61*90%</f>
        <v>553.19400000000007</v>
      </c>
      <c r="G59" s="819">
        <f t="shared" si="17"/>
        <v>3872.3580000000006</v>
      </c>
      <c r="H59" s="819">
        <f t="shared" si="18"/>
        <v>35174.495094938182</v>
      </c>
      <c r="I59" s="819">
        <f>(('Table 3 Levels 1&amp;2'!AL63-D59)+('Table 4 Level 3'!P61-F59))*C59</f>
        <v>3908.2772327709104</v>
      </c>
      <c r="J59" s="819">
        <f t="shared" si="19"/>
        <v>-88</v>
      </c>
      <c r="K59" s="820">
        <f t="shared" si="20"/>
        <v>35086.495094938182</v>
      </c>
      <c r="L59" s="820">
        <f>'[18]LAVCA Adjustment'!X60++'[16]Oct midyear LA Virtual Admy'!K59+'[19]Feb midyear adj_LA virtual '!M61</f>
        <v>-5142.8882743758959</v>
      </c>
      <c r="M59" s="821">
        <f t="shared" si="21"/>
        <v>29943.606820562287</v>
      </c>
      <c r="N59" s="821">
        <f t="shared" si="22"/>
        <v>2495</v>
      </c>
      <c r="O59" s="822">
        <f>'Table 5C1A-Madison Prep'!N62*90%</f>
        <v>2501.1</v>
      </c>
      <c r="P59" s="823">
        <f t="shared" si="23"/>
        <v>17507.7</v>
      </c>
      <c r="Q59" s="823">
        <f t="shared" si="24"/>
        <v>-44</v>
      </c>
      <c r="R59" s="823">
        <f t="shared" si="25"/>
        <v>17463.7</v>
      </c>
      <c r="S59" s="822">
        <f>'[18]LAVCA Adjustment'!AB60+'[16]Oct midyear LA Virtual Admy'!P59+'[19]Feb midyear adj_LA virtual '!S61</f>
        <v>-2614.5</v>
      </c>
      <c r="T59" s="854">
        <f t="shared" si="26"/>
        <v>14849.2</v>
      </c>
      <c r="U59" s="854">
        <f t="shared" si="27"/>
        <v>1237</v>
      </c>
      <c r="V59" s="824">
        <f t="shared" si="28"/>
        <v>44792.806820562284</v>
      </c>
      <c r="W59" s="824">
        <f t="shared" si="29"/>
        <v>3732</v>
      </c>
    </row>
    <row r="60" spans="1:23" s="545" customFormat="1" ht="17.25" customHeight="1">
      <c r="A60" s="101">
        <v>57</v>
      </c>
      <c r="B60" s="797" t="s">
        <v>148</v>
      </c>
      <c r="C60" s="825">
        <f>'2-1-13 SIS'!J63</f>
        <v>10</v>
      </c>
      <c r="D60" s="826">
        <f>'Table 3 Levels 1&amp;2'!AL64*90%</f>
        <v>4037.1365718196976</v>
      </c>
      <c r="E60" s="826">
        <f t="shared" si="16"/>
        <v>40371.365718196976</v>
      </c>
      <c r="F60" s="827">
        <f>'Table 4 Level 3'!P62*90%</f>
        <v>688.05899999999997</v>
      </c>
      <c r="G60" s="827">
        <f t="shared" si="17"/>
        <v>6880.59</v>
      </c>
      <c r="H60" s="827">
        <f t="shared" si="18"/>
        <v>47251.955718196972</v>
      </c>
      <c r="I60" s="827">
        <f>(('Table 3 Levels 1&amp;2'!AL64-D60)+('Table 4 Level 3'!P62-F60))*C60</f>
        <v>5250.2173020218834</v>
      </c>
      <c r="J60" s="827">
        <f t="shared" si="19"/>
        <v>-118</v>
      </c>
      <c r="K60" s="828">
        <f t="shared" si="20"/>
        <v>47133.955718196972</v>
      </c>
      <c r="L60" s="828">
        <f>'[18]LAVCA Adjustment'!X61++'[16]Oct midyear LA Virtual Admy'!K60+'[19]Feb midyear adj_LA virtual '!M62</f>
        <v>-2379.4184350963656</v>
      </c>
      <c r="M60" s="829">
        <f t="shared" si="21"/>
        <v>44754.53728310061</v>
      </c>
      <c r="N60" s="829">
        <f t="shared" si="22"/>
        <v>3730</v>
      </c>
      <c r="O60" s="830">
        <f>'Table 5C1A-Madison Prep'!N63*90%</f>
        <v>2796.3</v>
      </c>
      <c r="P60" s="831">
        <f t="shared" si="23"/>
        <v>27963</v>
      </c>
      <c r="Q60" s="831">
        <f t="shared" si="24"/>
        <v>-70</v>
      </c>
      <c r="R60" s="831">
        <f t="shared" si="25"/>
        <v>27893</v>
      </c>
      <c r="S60" s="830">
        <f>'[18]LAVCA Adjustment'!AB61+'[16]Oct midyear LA Virtual Admy'!P60+'[19]Feb midyear adj_LA virtual '!S62</f>
        <v>-1365.75</v>
      </c>
      <c r="T60" s="855">
        <f t="shared" si="26"/>
        <v>26527.25</v>
      </c>
      <c r="U60" s="855">
        <f t="shared" si="27"/>
        <v>2211</v>
      </c>
      <c r="V60" s="832">
        <f t="shared" si="28"/>
        <v>71281.78728310061</v>
      </c>
      <c r="W60" s="832">
        <f t="shared" si="29"/>
        <v>5941</v>
      </c>
    </row>
    <row r="61" spans="1:23" s="545" customFormat="1" ht="17.25" customHeight="1">
      <c r="A61" s="101">
        <v>58</v>
      </c>
      <c r="B61" s="797" t="s">
        <v>149</v>
      </c>
      <c r="C61" s="825">
        <f>'2-1-13 SIS'!J64</f>
        <v>30</v>
      </c>
      <c r="D61" s="826">
        <f>'Table 3 Levels 1&amp;2'!AL65*90%</f>
        <v>4912.079652312872</v>
      </c>
      <c r="E61" s="826">
        <f t="shared" si="16"/>
        <v>147362.38956938617</v>
      </c>
      <c r="F61" s="827">
        <f>'Table 4 Level 3'!P63*90%</f>
        <v>627.33600000000001</v>
      </c>
      <c r="G61" s="827">
        <f t="shared" si="17"/>
        <v>18820.080000000002</v>
      </c>
      <c r="H61" s="827">
        <f t="shared" si="18"/>
        <v>166182.46956938616</v>
      </c>
      <c r="I61" s="827">
        <f>(('Table 3 Levels 1&amp;2'!AL65-D61)+('Table 4 Level 3'!P63-F61))*C61</f>
        <v>18464.718841042901</v>
      </c>
      <c r="J61" s="827">
        <f t="shared" si="19"/>
        <v>-415</v>
      </c>
      <c r="K61" s="828">
        <f t="shared" si="20"/>
        <v>165767.46956938616</v>
      </c>
      <c r="L61" s="828">
        <f>'[18]LAVCA Adjustment'!X62++'[16]Oct midyear LA Virtual Admy'!K61+'[19]Feb midyear adj_LA virtual '!M63</f>
        <v>21535.218121475329</v>
      </c>
      <c r="M61" s="829">
        <f t="shared" si="21"/>
        <v>187302.68769086149</v>
      </c>
      <c r="N61" s="829">
        <f t="shared" si="22"/>
        <v>15609</v>
      </c>
      <c r="O61" s="830">
        <f>'Table 5C1A-Madison Prep'!N64*90%</f>
        <v>1894.5</v>
      </c>
      <c r="P61" s="831">
        <f t="shared" si="23"/>
        <v>56835</v>
      </c>
      <c r="Q61" s="831">
        <f t="shared" si="24"/>
        <v>-142</v>
      </c>
      <c r="R61" s="831">
        <f t="shared" si="25"/>
        <v>56693</v>
      </c>
      <c r="S61" s="830">
        <f>'[18]LAVCA Adjustment'!AB62+'[16]Oct midyear LA Virtual Admy'!P61+'[19]Feb midyear adj_LA virtual '!S63</f>
        <v>6296.4000000000005</v>
      </c>
      <c r="T61" s="855">
        <f t="shared" si="26"/>
        <v>62989.4</v>
      </c>
      <c r="U61" s="855">
        <f t="shared" si="27"/>
        <v>5249</v>
      </c>
      <c r="V61" s="832">
        <f t="shared" si="28"/>
        <v>250292.08769086149</v>
      </c>
      <c r="W61" s="832">
        <f t="shared" si="29"/>
        <v>20858</v>
      </c>
    </row>
    <row r="62" spans="1:23" s="545" customFormat="1" ht="17.25" customHeight="1">
      <c r="A62" s="101">
        <v>59</v>
      </c>
      <c r="B62" s="797" t="s">
        <v>150</v>
      </c>
      <c r="C62" s="825">
        <f>'2-1-13 SIS'!J65</f>
        <v>13</v>
      </c>
      <c r="D62" s="826">
        <f>'Table 3 Levels 1&amp;2'!AL66*90%</f>
        <v>5646.8507704205831</v>
      </c>
      <c r="E62" s="826">
        <f t="shared" si="16"/>
        <v>73409.060015467578</v>
      </c>
      <c r="F62" s="827">
        <f>'Table 4 Level 3'!P64*90%</f>
        <v>620.56799999999998</v>
      </c>
      <c r="G62" s="827">
        <f t="shared" si="17"/>
        <v>8067.384</v>
      </c>
      <c r="H62" s="827">
        <f t="shared" si="18"/>
        <v>81476.444015467583</v>
      </c>
      <c r="I62" s="827">
        <f>(('Table 3 Levels 1&amp;2'!AL66-D62)+('Table 4 Level 3'!P64-F62))*C62</f>
        <v>9052.9382239408442</v>
      </c>
      <c r="J62" s="827">
        <f t="shared" si="19"/>
        <v>-204</v>
      </c>
      <c r="K62" s="828">
        <f t="shared" si="20"/>
        <v>81272.444015467583</v>
      </c>
      <c r="L62" s="828">
        <f>'[18]LAVCA Adjustment'!X63++'[16]Oct midyear LA Virtual Admy'!K62+'[19]Feb midyear adj_LA virtual '!M64</f>
        <v>9014.490190432447</v>
      </c>
      <c r="M62" s="829">
        <f t="shared" si="21"/>
        <v>90286.934205900034</v>
      </c>
      <c r="N62" s="829">
        <f t="shared" si="22"/>
        <v>7524</v>
      </c>
      <c r="O62" s="830">
        <f>'Table 5C1A-Madison Prep'!N65*90%</f>
        <v>1359</v>
      </c>
      <c r="P62" s="831">
        <f t="shared" si="23"/>
        <v>17667</v>
      </c>
      <c r="Q62" s="831">
        <f t="shared" si="24"/>
        <v>-44</v>
      </c>
      <c r="R62" s="831">
        <f t="shared" si="25"/>
        <v>17623</v>
      </c>
      <c r="S62" s="830">
        <f>'[18]LAVCA Adjustment'!AB63+'[16]Oct midyear LA Virtual Admy'!P62+'[19]Feb midyear adj_LA virtual '!S64</f>
        <v>739.80000000000007</v>
      </c>
      <c r="T62" s="855">
        <f t="shared" si="26"/>
        <v>18362.8</v>
      </c>
      <c r="U62" s="855">
        <f t="shared" si="27"/>
        <v>1530</v>
      </c>
      <c r="V62" s="832">
        <f t="shared" si="28"/>
        <v>108649.73420590004</v>
      </c>
      <c r="W62" s="832">
        <f t="shared" si="29"/>
        <v>9054</v>
      </c>
    </row>
    <row r="63" spans="1:23" s="545" customFormat="1" ht="17.25" customHeight="1">
      <c r="A63" s="102">
        <v>60</v>
      </c>
      <c r="B63" s="798" t="s">
        <v>151</v>
      </c>
      <c r="C63" s="833">
        <f>'2-1-13 SIS'!J66</f>
        <v>17</v>
      </c>
      <c r="D63" s="834">
        <f>'Table 3 Levels 1&amp;2'!AL67*90%</f>
        <v>4446.8250098049375</v>
      </c>
      <c r="E63" s="834">
        <f t="shared" si="16"/>
        <v>75596.025166683932</v>
      </c>
      <c r="F63" s="835">
        <f>'Table 4 Level 3'!P65*90%</f>
        <v>534.63599999999997</v>
      </c>
      <c r="G63" s="835">
        <f t="shared" si="17"/>
        <v>9088.8119999999999</v>
      </c>
      <c r="H63" s="835">
        <f t="shared" si="18"/>
        <v>84684.837166683938</v>
      </c>
      <c r="I63" s="835">
        <f>(('Table 3 Levels 1&amp;2'!AL67-D63)+('Table 4 Level 3'!P65-F63))*C63</f>
        <v>9409.4263518537609</v>
      </c>
      <c r="J63" s="835">
        <f t="shared" si="19"/>
        <v>-212</v>
      </c>
      <c r="K63" s="836">
        <f t="shared" si="20"/>
        <v>84472.837166683938</v>
      </c>
      <c r="L63" s="836">
        <f>'[18]LAVCA Adjustment'!X64++'[16]Oct midyear LA Virtual Admy'!K63+'[19]Feb midyear adj_LA virtual '!M65</f>
        <v>-9418.6982964285999</v>
      </c>
      <c r="M63" s="837">
        <f t="shared" si="21"/>
        <v>75054.138870255338</v>
      </c>
      <c r="N63" s="837">
        <f t="shared" si="22"/>
        <v>6255</v>
      </c>
      <c r="O63" s="838">
        <f>'Table 5C1A-Madison Prep'!N66*90%</f>
        <v>3413.7000000000003</v>
      </c>
      <c r="P63" s="839">
        <f t="shared" si="23"/>
        <v>58032.9</v>
      </c>
      <c r="Q63" s="839">
        <f t="shared" si="24"/>
        <v>-145</v>
      </c>
      <c r="R63" s="839">
        <f t="shared" si="25"/>
        <v>57887.9</v>
      </c>
      <c r="S63" s="838">
        <f>'[18]LAVCA Adjustment'!AB64+'[16]Oct midyear LA Virtual Admy'!P63+'[19]Feb midyear adj_LA virtual '!S65</f>
        <v>-6944.4000000000005</v>
      </c>
      <c r="T63" s="856">
        <f t="shared" si="26"/>
        <v>50943.5</v>
      </c>
      <c r="U63" s="856">
        <f t="shared" si="27"/>
        <v>4245</v>
      </c>
      <c r="V63" s="840">
        <f t="shared" si="28"/>
        <v>125997.63887025534</v>
      </c>
      <c r="W63" s="840">
        <f t="shared" si="29"/>
        <v>10500</v>
      </c>
    </row>
    <row r="64" spans="1:23" s="545" customFormat="1" ht="17.25" customHeight="1">
      <c r="A64" s="101">
        <v>61</v>
      </c>
      <c r="B64" s="797" t="s">
        <v>152</v>
      </c>
      <c r="C64" s="817">
        <f>'2-1-13 SIS'!J67</f>
        <v>6</v>
      </c>
      <c r="D64" s="818">
        <f>'Table 3 Levels 1&amp;2'!AL68*90%</f>
        <v>2617.2310382405308</v>
      </c>
      <c r="E64" s="818">
        <f t="shared" si="16"/>
        <v>15703.386229443186</v>
      </c>
      <c r="F64" s="819">
        <f>'Table 4 Level 3'!P66*90%</f>
        <v>750.33899999999994</v>
      </c>
      <c r="G64" s="819">
        <f t="shared" si="17"/>
        <v>4502.0339999999997</v>
      </c>
      <c r="H64" s="819">
        <f t="shared" si="18"/>
        <v>20205.420229443185</v>
      </c>
      <c r="I64" s="819">
        <f>(('Table 3 Levels 1&amp;2'!AL68-D64)+('Table 4 Level 3'!P66-F64))*C64</f>
        <v>2245.046692160352</v>
      </c>
      <c r="J64" s="819">
        <f t="shared" si="19"/>
        <v>-51</v>
      </c>
      <c r="K64" s="820">
        <f t="shared" si="20"/>
        <v>20154.420229443185</v>
      </c>
      <c r="L64" s="820">
        <f>'[18]LAVCA Adjustment'!X65++'[16]Oct midyear LA Virtual Admy'!K64+'[19]Feb midyear adj_LA virtual '!M66</f>
        <v>659.54993838885821</v>
      </c>
      <c r="M64" s="821">
        <f t="shared" si="21"/>
        <v>20813.970167832042</v>
      </c>
      <c r="N64" s="821">
        <f t="shared" si="22"/>
        <v>1734</v>
      </c>
      <c r="O64" s="822">
        <f>'Table 5C1A-Madison Prep'!N67*90%</f>
        <v>5913</v>
      </c>
      <c r="P64" s="823">
        <f t="shared" si="23"/>
        <v>35478</v>
      </c>
      <c r="Q64" s="823">
        <f t="shared" si="24"/>
        <v>-89</v>
      </c>
      <c r="R64" s="823">
        <f t="shared" si="25"/>
        <v>35389</v>
      </c>
      <c r="S64" s="822">
        <f>'[18]LAVCA Adjustment'!AB65+'[16]Oct midyear LA Virtual Admy'!P64+'[19]Feb midyear adj_LA virtual '!S66</f>
        <v>5440.5</v>
      </c>
      <c r="T64" s="854">
        <f t="shared" si="26"/>
        <v>40829.5</v>
      </c>
      <c r="U64" s="854">
        <f t="shared" si="27"/>
        <v>3402</v>
      </c>
      <c r="V64" s="824">
        <f t="shared" si="28"/>
        <v>61643.470167832042</v>
      </c>
      <c r="W64" s="824">
        <f t="shared" si="29"/>
        <v>5136</v>
      </c>
    </row>
    <row r="65" spans="1:23" s="545" customFormat="1" ht="17.25" customHeight="1">
      <c r="A65" s="101">
        <v>62</v>
      </c>
      <c r="B65" s="797" t="s">
        <v>153</v>
      </c>
      <c r="C65" s="825">
        <f>'2-1-13 SIS'!J68</f>
        <v>1</v>
      </c>
      <c r="D65" s="826">
        <f>'Table 3 Levels 1&amp;2'!AL69*90%</f>
        <v>5086.9557663049882</v>
      </c>
      <c r="E65" s="826">
        <f t="shared" si="16"/>
        <v>5086.9557663049882</v>
      </c>
      <c r="F65" s="827">
        <f>'Table 4 Level 3'!P67*90%</f>
        <v>464.47200000000004</v>
      </c>
      <c r="G65" s="827">
        <f t="shared" si="17"/>
        <v>464.47200000000004</v>
      </c>
      <c r="H65" s="827">
        <f t="shared" si="18"/>
        <v>5551.4277663049879</v>
      </c>
      <c r="I65" s="827">
        <f>(('Table 3 Levels 1&amp;2'!AL69-D65)+('Table 4 Level 3'!P67-F65))*C65</f>
        <v>616.82530736722106</v>
      </c>
      <c r="J65" s="827">
        <f t="shared" si="19"/>
        <v>-14</v>
      </c>
      <c r="K65" s="828">
        <f t="shared" si="20"/>
        <v>5537.4277663049879</v>
      </c>
      <c r="L65" s="828">
        <f>'[18]LAVCA Adjustment'!X66++'[16]Oct midyear LA Virtual Admy'!K65+'[19]Feb midyear adj_LA virtual '!M67</f>
        <v>-2708.4619629907634</v>
      </c>
      <c r="M65" s="829">
        <f t="shared" si="21"/>
        <v>2828.9658033142246</v>
      </c>
      <c r="N65" s="829">
        <f t="shared" si="22"/>
        <v>236</v>
      </c>
      <c r="O65" s="830">
        <f>'Table 5C1A-Madison Prep'!N68*90%</f>
        <v>1740.6000000000001</v>
      </c>
      <c r="P65" s="831">
        <f t="shared" si="23"/>
        <v>1740.6000000000001</v>
      </c>
      <c r="Q65" s="831">
        <f t="shared" si="24"/>
        <v>-4</v>
      </c>
      <c r="R65" s="831">
        <f t="shared" si="25"/>
        <v>1736.6000000000001</v>
      </c>
      <c r="S65" s="830">
        <f>'[18]LAVCA Adjustment'!AB66+'[16]Oct midyear LA Virtual Admy'!P65+'[19]Feb midyear adj_LA virtual '!S67</f>
        <v>-756.45</v>
      </c>
      <c r="T65" s="855">
        <f t="shared" si="26"/>
        <v>980.15000000000009</v>
      </c>
      <c r="U65" s="855">
        <f t="shared" si="27"/>
        <v>82</v>
      </c>
      <c r="V65" s="832">
        <f t="shared" si="28"/>
        <v>3809.1158033142246</v>
      </c>
      <c r="W65" s="832">
        <f t="shared" si="29"/>
        <v>318</v>
      </c>
    </row>
    <row r="66" spans="1:23" s="545" customFormat="1" ht="17.25" customHeight="1">
      <c r="A66" s="101">
        <v>63</v>
      </c>
      <c r="B66" s="797" t="s">
        <v>154</v>
      </c>
      <c r="C66" s="825">
        <f>'2-1-13 SIS'!J69</f>
        <v>0</v>
      </c>
      <c r="D66" s="826">
        <f>'Table 3 Levels 1&amp;2'!AL70*90%</f>
        <v>3926.0706784293629</v>
      </c>
      <c r="E66" s="826">
        <f t="shared" si="16"/>
        <v>0</v>
      </c>
      <c r="F66" s="827">
        <f>'Table 4 Level 3'!P68*90%</f>
        <v>681.11099999999999</v>
      </c>
      <c r="G66" s="827">
        <f t="shared" si="17"/>
        <v>0</v>
      </c>
      <c r="H66" s="827">
        <f t="shared" si="18"/>
        <v>0</v>
      </c>
      <c r="I66" s="827">
        <f>(('Table 3 Levels 1&amp;2'!AL70-D66)+('Table 4 Level 3'!P68-F66))*C66</f>
        <v>0</v>
      </c>
      <c r="J66" s="827">
        <f t="shared" si="19"/>
        <v>0</v>
      </c>
      <c r="K66" s="828">
        <f t="shared" si="20"/>
        <v>0</v>
      </c>
      <c r="L66" s="828">
        <f>'[18]LAVCA Adjustment'!X67++'[16]Oct midyear LA Virtual Admy'!K66+'[19]Feb midyear adj_LA virtual '!M68</f>
        <v>-13509.784000925216</v>
      </c>
      <c r="M66" s="829">
        <f t="shared" si="21"/>
        <v>-13509.784000925216</v>
      </c>
      <c r="N66" s="829">
        <f t="shared" si="22"/>
        <v>-1126</v>
      </c>
      <c r="O66" s="830">
        <f>'Table 5C1A-Madison Prep'!N69*90%</f>
        <v>6108.3</v>
      </c>
      <c r="P66" s="831">
        <f t="shared" si="23"/>
        <v>0</v>
      </c>
      <c r="Q66" s="831">
        <f t="shared" si="24"/>
        <v>0</v>
      </c>
      <c r="R66" s="831">
        <f t="shared" si="25"/>
        <v>0</v>
      </c>
      <c r="S66" s="830">
        <f>'[18]LAVCA Adjustment'!AB67+'[16]Oct midyear LA Virtual Admy'!P66+'[19]Feb midyear adj_LA virtual '!S68</f>
        <v>-18848.7</v>
      </c>
      <c r="T66" s="855">
        <f t="shared" si="26"/>
        <v>-18848.7</v>
      </c>
      <c r="U66" s="855">
        <f t="shared" si="27"/>
        <v>-1571</v>
      </c>
      <c r="V66" s="832">
        <f t="shared" si="28"/>
        <v>-32358.484000925215</v>
      </c>
      <c r="W66" s="832">
        <f t="shared" si="29"/>
        <v>-2697</v>
      </c>
    </row>
    <row r="67" spans="1:23" s="545" customFormat="1" ht="17.25" customHeight="1">
      <c r="A67" s="101">
        <v>64</v>
      </c>
      <c r="B67" s="797" t="s">
        <v>155</v>
      </c>
      <c r="C67" s="825">
        <f>'2-1-13 SIS'!J70</f>
        <v>1</v>
      </c>
      <c r="D67" s="826">
        <f>'Table 3 Levels 1&amp;2'!AL71*90%</f>
        <v>5364.1844164803006</v>
      </c>
      <c r="E67" s="826">
        <f t="shared" si="16"/>
        <v>5364.1844164803006</v>
      </c>
      <c r="F67" s="827">
        <f>'Table 4 Level 3'!P69*90%</f>
        <v>533.39400000000001</v>
      </c>
      <c r="G67" s="827">
        <f t="shared" si="17"/>
        <v>533.39400000000001</v>
      </c>
      <c r="H67" s="827">
        <f t="shared" si="18"/>
        <v>5897.5784164803008</v>
      </c>
      <c r="I67" s="827">
        <f>(('Table 3 Levels 1&amp;2'!AL71-D67)+('Table 4 Level 3'!P69-F67))*C67</f>
        <v>655.28649072003316</v>
      </c>
      <c r="J67" s="827">
        <f t="shared" si="19"/>
        <v>-15</v>
      </c>
      <c r="K67" s="828">
        <f t="shared" si="20"/>
        <v>5882.5784164803008</v>
      </c>
      <c r="L67" s="828">
        <f>'[18]LAVCA Adjustment'!X68++'[16]Oct midyear LA Virtual Admy'!K67+'[19]Feb midyear adj_LA virtual '!M69</f>
        <v>0</v>
      </c>
      <c r="M67" s="829">
        <f t="shared" si="21"/>
        <v>5882.5784164803008</v>
      </c>
      <c r="N67" s="829">
        <f t="shared" si="22"/>
        <v>490</v>
      </c>
      <c r="O67" s="830">
        <f>'Table 5C1A-Madison Prep'!N70*90%</f>
        <v>2610.9</v>
      </c>
      <c r="P67" s="831">
        <f t="shared" si="23"/>
        <v>2610.9</v>
      </c>
      <c r="Q67" s="831">
        <f t="shared" si="24"/>
        <v>-7</v>
      </c>
      <c r="R67" s="831">
        <f t="shared" si="25"/>
        <v>2603.9</v>
      </c>
      <c r="S67" s="830">
        <f>'[18]LAVCA Adjustment'!AB68+'[16]Oct midyear LA Virtual Admy'!P67+'[19]Feb midyear adj_LA virtual '!S69</f>
        <v>0</v>
      </c>
      <c r="T67" s="855">
        <f t="shared" si="26"/>
        <v>2603.9</v>
      </c>
      <c r="U67" s="855">
        <f t="shared" si="27"/>
        <v>217</v>
      </c>
      <c r="V67" s="832">
        <f t="shared" si="28"/>
        <v>8486.4784164803004</v>
      </c>
      <c r="W67" s="832">
        <f t="shared" si="29"/>
        <v>707</v>
      </c>
    </row>
    <row r="68" spans="1:23" s="545" customFormat="1" ht="17.25" customHeight="1">
      <c r="A68" s="102">
        <v>65</v>
      </c>
      <c r="B68" s="798" t="s">
        <v>156</v>
      </c>
      <c r="C68" s="833">
        <f>'2-1-13 SIS'!J71</f>
        <v>0</v>
      </c>
      <c r="D68" s="834">
        <f>'Table 3 Levels 1&amp;2'!AL72*90%</f>
        <v>4121.3495072796013</v>
      </c>
      <c r="E68" s="834">
        <f t="shared" si="16"/>
        <v>0</v>
      </c>
      <c r="F68" s="835">
        <f>'Table 4 Level 3'!P70*90%</f>
        <v>746.20799999999997</v>
      </c>
      <c r="G68" s="835">
        <f t="shared" si="17"/>
        <v>0</v>
      </c>
      <c r="H68" s="835">
        <f t="shared" si="18"/>
        <v>0</v>
      </c>
      <c r="I68" s="835">
        <f>(('Table 3 Levels 1&amp;2'!AL72-D68)+('Table 4 Level 3'!P70-F68))*C68</f>
        <v>0</v>
      </c>
      <c r="J68" s="835">
        <f t="shared" si="19"/>
        <v>0</v>
      </c>
      <c r="K68" s="836">
        <f t="shared" si="20"/>
        <v>0</v>
      </c>
      <c r="L68" s="836">
        <f>'[18]LAVCA Adjustment'!X69++'[16]Oct midyear LA Virtual Admy'!K68+'[19]Feb midyear adj_LA virtual '!M70</f>
        <v>-9608.6961131163589</v>
      </c>
      <c r="M68" s="837">
        <f t="shared" si="21"/>
        <v>-9608.6961131163589</v>
      </c>
      <c r="N68" s="837">
        <f t="shared" si="22"/>
        <v>-801</v>
      </c>
      <c r="O68" s="838">
        <f>'Table 5C1A-Madison Prep'!N71*90%</f>
        <v>4500.9000000000005</v>
      </c>
      <c r="P68" s="839">
        <f t="shared" si="23"/>
        <v>0</v>
      </c>
      <c r="Q68" s="839">
        <f t="shared" si="24"/>
        <v>0</v>
      </c>
      <c r="R68" s="839">
        <f t="shared" si="25"/>
        <v>0</v>
      </c>
      <c r="S68" s="838">
        <f>'[18]LAVCA Adjustment'!AB69+'[16]Oct midyear LA Virtual Admy'!P68+'[19]Feb midyear adj_LA virtual '!S70</f>
        <v>-8415</v>
      </c>
      <c r="T68" s="856">
        <f t="shared" si="26"/>
        <v>-8415</v>
      </c>
      <c r="U68" s="856">
        <f t="shared" si="27"/>
        <v>-701</v>
      </c>
      <c r="V68" s="840">
        <f t="shared" si="28"/>
        <v>-18023.696113116359</v>
      </c>
      <c r="W68" s="840">
        <f t="shared" si="29"/>
        <v>-1502</v>
      </c>
    </row>
    <row r="69" spans="1:23" s="545" customFormat="1" ht="17.25" customHeight="1">
      <c r="A69" s="101">
        <v>66</v>
      </c>
      <c r="B69" s="797" t="s">
        <v>157</v>
      </c>
      <c r="C69" s="817">
        <f>'2-1-13 SIS'!J72</f>
        <v>3</v>
      </c>
      <c r="D69" s="818">
        <f>'Table 3 Levels 1&amp;2'!AL73*90%</f>
        <v>5733.7297376142224</v>
      </c>
      <c r="E69" s="818">
        <f t="shared" ref="E69:E72" si="30">C69*D69</f>
        <v>17201.189212842666</v>
      </c>
      <c r="F69" s="819">
        <f>'Table 4 Level 3'!P71*90%</f>
        <v>657.05399999999997</v>
      </c>
      <c r="G69" s="819">
        <f t="shared" ref="G69:G72" si="31">F69*C69</f>
        <v>1971.1619999999998</v>
      </c>
      <c r="H69" s="819">
        <f t="shared" ref="H69:H72" si="32">E69+G69</f>
        <v>19172.351212842666</v>
      </c>
      <c r="I69" s="819">
        <f>(('Table 3 Levels 1&amp;2'!AL73-D69)+('Table 4 Level 3'!P71-F69))*C69</f>
        <v>2130.2612458714084</v>
      </c>
      <c r="J69" s="819">
        <f t="shared" ref="J69:J72" si="33">ROUND(-0.25%*H69,0)</f>
        <v>-48</v>
      </c>
      <c r="K69" s="820">
        <f t="shared" ref="K69:K72" si="34">H69+J69</f>
        <v>19124.351212842666</v>
      </c>
      <c r="L69" s="820">
        <f>'[18]LAVCA Adjustment'!X70++'[16]Oct midyear LA Virtual Admy'!K69+'[19]Feb midyear adj_LA virtual '!M71</f>
        <v>-19581.407817033178</v>
      </c>
      <c r="M69" s="821">
        <f t="shared" ref="M69:M72" si="35">SUM(K69:L69)</f>
        <v>-457.05660419051128</v>
      </c>
      <c r="N69" s="821">
        <f t="shared" ref="N69:N72" si="36">ROUND(M69/12,0)</f>
        <v>-38</v>
      </c>
      <c r="O69" s="822">
        <f>'Table 5C1A-Madison Prep'!N72*90%</f>
        <v>3073.5</v>
      </c>
      <c r="P69" s="823">
        <f t="shared" ref="P69:P72" si="37">O69*C69</f>
        <v>9220.5</v>
      </c>
      <c r="Q69" s="823">
        <f t="shared" ref="Q69:Q72" si="38">ROUND(P69*-0.25%,0)</f>
        <v>-23</v>
      </c>
      <c r="R69" s="823">
        <f t="shared" ref="R69:R72" si="39">SUM(P69:Q69)</f>
        <v>9197.5</v>
      </c>
      <c r="S69" s="822">
        <f>'[18]LAVCA Adjustment'!AB70+'[16]Oct midyear LA Virtual Admy'!P69+'[19]Feb midyear adj_LA virtual '!S71</f>
        <v>-6170.4000000000005</v>
      </c>
      <c r="T69" s="854">
        <f t="shared" ref="T69:T72" si="40">SUM(R69:S69)</f>
        <v>3027.0999999999995</v>
      </c>
      <c r="U69" s="854">
        <f t="shared" ref="U69:U72" si="41">ROUND(T69/12,0)</f>
        <v>252</v>
      </c>
      <c r="V69" s="824">
        <f t="shared" ref="V69:V72" si="42">T69+M69</f>
        <v>2570.0433958094882</v>
      </c>
      <c r="W69" s="824">
        <f t="shared" ref="W69:W72" si="43">N69+U69</f>
        <v>214</v>
      </c>
    </row>
    <row r="70" spans="1:23" s="545" customFormat="1" ht="17.25" customHeight="1">
      <c r="A70" s="101">
        <v>67</v>
      </c>
      <c r="B70" s="797" t="s">
        <v>32</v>
      </c>
      <c r="C70" s="825">
        <f>'2-1-13 SIS'!J73</f>
        <v>1</v>
      </c>
      <c r="D70" s="826">
        <f>'Table 3 Levels 1&amp;2'!AL74*90%</f>
        <v>4456.4408938895622</v>
      </c>
      <c r="E70" s="826">
        <f t="shared" si="30"/>
        <v>4456.4408938895622</v>
      </c>
      <c r="F70" s="827">
        <f>'Table 4 Level 3'!P72*90%</f>
        <v>644.04899999999998</v>
      </c>
      <c r="G70" s="827">
        <f t="shared" si="31"/>
        <v>644.04899999999998</v>
      </c>
      <c r="H70" s="827">
        <f t="shared" si="32"/>
        <v>5100.4898938895622</v>
      </c>
      <c r="I70" s="827">
        <f>(('Table 3 Levels 1&amp;2'!AL74-D70)+('Table 4 Level 3'!P72-F70))*C70</f>
        <v>566.7210993210623</v>
      </c>
      <c r="J70" s="827">
        <f t="shared" si="33"/>
        <v>-13</v>
      </c>
      <c r="K70" s="828">
        <f t="shared" si="34"/>
        <v>5087.4898938895622</v>
      </c>
      <c r="L70" s="828">
        <f>'[18]LAVCA Adjustment'!X71++'[16]Oct midyear LA Virtual Admy'!K70+'[19]Feb midyear adj_LA virtual '!M72</f>
        <v>-5142.0204675875975</v>
      </c>
      <c r="M70" s="829">
        <f t="shared" si="35"/>
        <v>-54.530573698035369</v>
      </c>
      <c r="N70" s="829">
        <f t="shared" si="36"/>
        <v>-5</v>
      </c>
      <c r="O70" s="830">
        <f>'Table 5C1A-Madison Prep'!N73*90%</f>
        <v>4698.9000000000005</v>
      </c>
      <c r="P70" s="831">
        <f t="shared" si="37"/>
        <v>4698.9000000000005</v>
      </c>
      <c r="Q70" s="831">
        <f t="shared" si="38"/>
        <v>-12</v>
      </c>
      <c r="R70" s="831">
        <f t="shared" si="39"/>
        <v>4686.9000000000005</v>
      </c>
      <c r="S70" s="830">
        <f>'[18]LAVCA Adjustment'!AB71+'[16]Oct midyear LA Virtual Admy'!P70+'[19]Feb midyear adj_LA virtual '!S72</f>
        <v>-3922.2000000000003</v>
      </c>
      <c r="T70" s="855">
        <f t="shared" si="40"/>
        <v>764.70000000000027</v>
      </c>
      <c r="U70" s="855">
        <f t="shared" si="41"/>
        <v>64</v>
      </c>
      <c r="V70" s="832">
        <f t="shared" si="42"/>
        <v>710.1694263019649</v>
      </c>
      <c r="W70" s="832">
        <f t="shared" si="43"/>
        <v>59</v>
      </c>
    </row>
    <row r="71" spans="1:23" s="545" customFormat="1" ht="17.25" customHeight="1">
      <c r="A71" s="101">
        <v>68</v>
      </c>
      <c r="B71" s="797" t="s">
        <v>30</v>
      </c>
      <c r="C71" s="825">
        <f>'2-1-13 SIS'!J74</f>
        <v>3</v>
      </c>
      <c r="D71" s="826">
        <f>'Table 3 Levels 1&amp;2'!AL75*90%</f>
        <v>5469.5158860329057</v>
      </c>
      <c r="E71" s="826">
        <f t="shared" si="30"/>
        <v>16408.547658098716</v>
      </c>
      <c r="F71" s="827">
        <f>'Table 4 Level 3'!P73*90%</f>
        <v>718.83</v>
      </c>
      <c r="G71" s="827">
        <f t="shared" si="31"/>
        <v>2156.4900000000002</v>
      </c>
      <c r="H71" s="827">
        <f t="shared" si="32"/>
        <v>18565.037658098718</v>
      </c>
      <c r="I71" s="827">
        <f>(('Table 3 Levels 1&amp;2'!AL75-D71)+('Table 4 Level 3'!P73-F71))*C71</f>
        <v>2062.7819620109672</v>
      </c>
      <c r="J71" s="827">
        <f t="shared" si="33"/>
        <v>-46</v>
      </c>
      <c r="K71" s="828">
        <f t="shared" si="34"/>
        <v>18519.037658098718</v>
      </c>
      <c r="L71" s="828">
        <f>'[18]LAVCA Adjustment'!X72++'[16]Oct midyear LA Virtual Admy'!K71+'[19]Feb midyear adj_LA virtual '!M73</f>
        <v>-2995.0170228479201</v>
      </c>
      <c r="M71" s="829">
        <f t="shared" si="35"/>
        <v>15524.020635250798</v>
      </c>
      <c r="N71" s="829">
        <f t="shared" si="36"/>
        <v>1294</v>
      </c>
      <c r="O71" s="830">
        <f>'Table 5C1A-Madison Prep'!N74*90%</f>
        <v>2412</v>
      </c>
      <c r="P71" s="831">
        <f t="shared" si="37"/>
        <v>7236</v>
      </c>
      <c r="Q71" s="831">
        <f t="shared" si="38"/>
        <v>-18</v>
      </c>
      <c r="R71" s="831">
        <f t="shared" si="39"/>
        <v>7218</v>
      </c>
      <c r="S71" s="830">
        <f>'[18]LAVCA Adjustment'!AB72+'[16]Oct midyear LA Virtual Admy'!P71+'[19]Feb midyear adj_LA virtual '!S73</f>
        <v>-1305</v>
      </c>
      <c r="T71" s="855">
        <f t="shared" si="40"/>
        <v>5913</v>
      </c>
      <c r="U71" s="855">
        <f t="shared" si="41"/>
        <v>493</v>
      </c>
      <c r="V71" s="832">
        <f t="shared" si="42"/>
        <v>21437.020635250796</v>
      </c>
      <c r="W71" s="832">
        <f t="shared" si="43"/>
        <v>1787</v>
      </c>
    </row>
    <row r="72" spans="1:23" s="545" customFormat="1" ht="17.25" customHeight="1">
      <c r="A72" s="101">
        <v>69</v>
      </c>
      <c r="B72" s="797" t="s">
        <v>208</v>
      </c>
      <c r="C72" s="825">
        <f>'2-1-13 SIS'!J75</f>
        <v>7</v>
      </c>
      <c r="D72" s="826">
        <f>'Table 3 Levels 1&amp;2'!AL76*90%</f>
        <v>5027.2427796017919</v>
      </c>
      <c r="E72" s="826">
        <f t="shared" si="30"/>
        <v>35190.69945721254</v>
      </c>
      <c r="F72" s="827">
        <f>'Table 4 Level 3'!P74*90%</f>
        <v>635.10299999999995</v>
      </c>
      <c r="G72" s="827">
        <f t="shared" si="31"/>
        <v>4445.7209999999995</v>
      </c>
      <c r="H72" s="827">
        <f t="shared" si="32"/>
        <v>39636.420457212538</v>
      </c>
      <c r="I72" s="827">
        <f>(('Table 3 Levels 1&amp;2'!AL76-D72)+('Table 4 Level 3'!P74-F72))*C72</f>
        <v>4404.0467174680625</v>
      </c>
      <c r="J72" s="827">
        <f t="shared" si="33"/>
        <v>-99</v>
      </c>
      <c r="K72" s="828">
        <f t="shared" si="34"/>
        <v>39537.420457212538</v>
      </c>
      <c r="L72" s="828">
        <f>'[18]LAVCA Adjustment'!X73++'[16]Oct midyear LA Virtual Admy'!K72+'[19]Feb midyear adj_LA virtual '!M74</f>
        <v>13947.73694849098</v>
      </c>
      <c r="M72" s="829">
        <f t="shared" si="35"/>
        <v>53485.157405703518</v>
      </c>
      <c r="N72" s="829">
        <f t="shared" si="36"/>
        <v>4457</v>
      </c>
      <c r="O72" s="830">
        <f>'Table 5C1A-Madison Prep'!N75*90%</f>
        <v>2936.7000000000003</v>
      </c>
      <c r="P72" s="831">
        <f t="shared" si="37"/>
        <v>20556.900000000001</v>
      </c>
      <c r="Q72" s="831">
        <f t="shared" si="38"/>
        <v>-51</v>
      </c>
      <c r="R72" s="831">
        <f t="shared" si="39"/>
        <v>20505.900000000001</v>
      </c>
      <c r="S72" s="830">
        <f>'[18]LAVCA Adjustment'!AB73+'[16]Oct midyear LA Virtual Admy'!P72+'[19]Feb midyear adj_LA virtual '!S74</f>
        <v>7452</v>
      </c>
      <c r="T72" s="855">
        <f t="shared" si="40"/>
        <v>27957.9</v>
      </c>
      <c r="U72" s="855">
        <f t="shared" si="41"/>
        <v>2330</v>
      </c>
      <c r="V72" s="832">
        <f t="shared" si="42"/>
        <v>81443.057405703526</v>
      </c>
      <c r="W72" s="832">
        <f t="shared" si="43"/>
        <v>6787</v>
      </c>
    </row>
    <row r="73" spans="1:23" s="847" customFormat="1" ht="24" customHeight="1">
      <c r="A73" s="841"/>
      <c r="B73" s="799" t="s">
        <v>433</v>
      </c>
      <c r="C73" s="842">
        <f>SUM(C4:C72)</f>
        <v>1130</v>
      </c>
      <c r="D73" s="843"/>
      <c r="E73" s="843">
        <f t="shared" ref="E73:N73" si="44">SUM(E4:E72)</f>
        <v>4515412.352849639</v>
      </c>
      <c r="F73" s="844"/>
      <c r="G73" s="844">
        <f t="shared" si="44"/>
        <v>712717.87361792324</v>
      </c>
      <c r="H73" s="844">
        <f t="shared" si="44"/>
        <v>5228130.22646756</v>
      </c>
      <c r="I73" s="844">
        <f t="shared" si="44"/>
        <v>579925.66571777314</v>
      </c>
      <c r="J73" s="844">
        <f t="shared" si="44"/>
        <v>-13071</v>
      </c>
      <c r="K73" s="845">
        <f t="shared" si="44"/>
        <v>5215059.22646756</v>
      </c>
      <c r="L73" s="845">
        <f t="shared" si="44"/>
        <v>-49413.191052552196</v>
      </c>
      <c r="M73" s="846">
        <f t="shared" si="44"/>
        <v>5165646.0354150087</v>
      </c>
      <c r="N73" s="846">
        <f t="shared" si="44"/>
        <v>430472</v>
      </c>
      <c r="O73" s="800">
        <f>'Table 5C1A-Madison Prep'!N76*90%</f>
        <v>4052.7000000000003</v>
      </c>
      <c r="P73" s="801">
        <f>SUM(P4:P72)</f>
        <v>4352347.8000000007</v>
      </c>
      <c r="Q73" s="801">
        <f t="shared" ref="Q73:W73" si="45">SUM(Q4:Q72)</f>
        <v>-10883</v>
      </c>
      <c r="R73" s="801">
        <f t="shared" si="45"/>
        <v>4341464.8000000007</v>
      </c>
      <c r="S73" s="801">
        <f t="shared" si="45"/>
        <v>-62772.300000000017</v>
      </c>
      <c r="T73" s="857">
        <f t="shared" si="45"/>
        <v>4278692.5</v>
      </c>
      <c r="U73" s="857">
        <f t="shared" si="45"/>
        <v>356557</v>
      </c>
      <c r="V73" s="801">
        <f t="shared" si="45"/>
        <v>9444338.5354150087</v>
      </c>
      <c r="W73" s="801">
        <f t="shared" si="45"/>
        <v>787029</v>
      </c>
    </row>
    <row r="74" spans="1:23" s="807" customFormat="1" ht="10.5" customHeight="1">
      <c r="A74" s="816"/>
      <c r="B74" s="815"/>
      <c r="C74" s="803"/>
      <c r="D74" s="804"/>
      <c r="E74" s="804"/>
      <c r="F74" s="804"/>
      <c r="G74" s="804"/>
      <c r="H74" s="804"/>
      <c r="I74" s="804"/>
      <c r="J74" s="804"/>
      <c r="K74" s="804"/>
      <c r="L74" s="804"/>
      <c r="M74" s="804"/>
      <c r="N74" s="804"/>
      <c r="O74" s="805"/>
      <c r="P74" s="805"/>
      <c r="Q74" s="806"/>
      <c r="R74" s="806"/>
      <c r="S74" s="806"/>
      <c r="T74" s="805"/>
      <c r="U74" s="805"/>
      <c r="V74" s="805"/>
      <c r="W74" s="805"/>
    </row>
    <row r="75" spans="1:23" s="545" customFormat="1" ht="18.75" customHeight="1">
      <c r="A75" s="816"/>
      <c r="B75" s="852" t="s">
        <v>435</v>
      </c>
      <c r="C75" s="541"/>
      <c r="D75" s="542"/>
      <c r="E75" s="542"/>
      <c r="F75" s="544"/>
      <c r="G75" s="544"/>
      <c r="H75" s="544"/>
      <c r="I75" s="544"/>
      <c r="J75" s="544">
        <f>-J73</f>
        <v>13071</v>
      </c>
      <c r="K75" s="717">
        <f>J75</f>
        <v>13071</v>
      </c>
      <c r="L75" s="717"/>
      <c r="M75" s="716">
        <f>K75</f>
        <v>13071</v>
      </c>
      <c r="N75" s="716"/>
      <c r="O75" s="543"/>
      <c r="P75" s="573"/>
      <c r="Q75" s="573">
        <f>-Q73</f>
        <v>10883</v>
      </c>
      <c r="R75" s="573">
        <f>Q75</f>
        <v>10883</v>
      </c>
      <c r="S75" s="573"/>
      <c r="T75" s="858">
        <f>Q75</f>
        <v>10883</v>
      </c>
      <c r="U75" s="858"/>
      <c r="V75" s="574">
        <f t="shared" ref="V75" si="46">T75+M75</f>
        <v>23954</v>
      </c>
      <c r="W75" s="574"/>
    </row>
    <row r="76" spans="1:23" s="807" customFormat="1" ht="10.5" customHeight="1">
      <c r="A76" s="816"/>
      <c r="B76" s="815"/>
      <c r="C76" s="803"/>
      <c r="D76" s="804"/>
      <c r="E76" s="804"/>
      <c r="F76" s="804"/>
      <c r="G76" s="804"/>
      <c r="H76" s="804"/>
      <c r="I76" s="804"/>
      <c r="J76" s="804"/>
      <c r="K76" s="804"/>
      <c r="L76" s="804"/>
      <c r="M76" s="804"/>
      <c r="N76" s="804"/>
      <c r="O76" s="805"/>
      <c r="P76" s="805"/>
      <c r="Q76" s="806"/>
      <c r="R76" s="806"/>
      <c r="S76" s="806"/>
      <c r="T76" s="805"/>
      <c r="U76" s="805"/>
      <c r="V76" s="805"/>
      <c r="W76" s="805"/>
    </row>
    <row r="77" spans="1:23" s="851" customFormat="1" ht="33.75" customHeight="1">
      <c r="A77" s="848"/>
      <c r="B77" s="808" t="s">
        <v>434</v>
      </c>
      <c r="C77" s="849">
        <f>SUM(C73:C76)</f>
        <v>1130</v>
      </c>
      <c r="D77" s="850"/>
      <c r="E77" s="850">
        <f t="shared" ref="E77:V77" si="47">SUM(E73:E76)</f>
        <v>4515412.352849639</v>
      </c>
      <c r="F77" s="809"/>
      <c r="G77" s="809">
        <f t="shared" si="47"/>
        <v>712717.87361792324</v>
      </c>
      <c r="H77" s="809">
        <f t="shared" si="47"/>
        <v>5228130.22646756</v>
      </c>
      <c r="I77" s="809"/>
      <c r="J77" s="809">
        <f t="shared" si="47"/>
        <v>0</v>
      </c>
      <c r="K77" s="810">
        <f t="shared" si="47"/>
        <v>5228130.22646756</v>
      </c>
      <c r="L77" s="810">
        <f t="shared" si="47"/>
        <v>-49413.191052552196</v>
      </c>
      <c r="M77" s="811">
        <f t="shared" si="47"/>
        <v>5178717.0354150087</v>
      </c>
      <c r="N77" s="811"/>
      <c r="O77" s="812"/>
      <c r="P77" s="813">
        <f t="shared" si="47"/>
        <v>4352347.8000000007</v>
      </c>
      <c r="Q77" s="813">
        <f t="shared" si="47"/>
        <v>0</v>
      </c>
      <c r="R77" s="813">
        <f t="shared" si="47"/>
        <v>4352347.8000000007</v>
      </c>
      <c r="S77" s="813">
        <f t="shared" si="47"/>
        <v>-62772.300000000017</v>
      </c>
      <c r="T77" s="859">
        <f t="shared" si="47"/>
        <v>4289575.5</v>
      </c>
      <c r="U77" s="859"/>
      <c r="V77" s="814">
        <f t="shared" si="47"/>
        <v>9468292.5354150087</v>
      </c>
      <c r="W77" s="814"/>
    </row>
    <row r="78" spans="1:23" ht="12.75" customHeight="1">
      <c r="B78" s="546"/>
      <c r="C78" s="547"/>
      <c r="D78" s="548"/>
      <c r="E78" s="547"/>
      <c r="F78" s="547"/>
      <c r="G78" s="547"/>
      <c r="H78" s="549"/>
      <c r="I78" s="549"/>
      <c r="J78" s="549"/>
      <c r="K78" s="549"/>
      <c r="L78" s="549"/>
      <c r="M78" s="549"/>
      <c r="N78" s="549"/>
    </row>
    <row r="79" spans="1:23" ht="24.75" customHeight="1">
      <c r="C79" s="1763"/>
      <c r="D79" s="1763"/>
      <c r="E79" s="1763"/>
      <c r="F79" s="1763"/>
      <c r="G79" s="1763"/>
      <c r="H79" s="1763"/>
      <c r="I79" s="1763"/>
      <c r="J79" s="1763"/>
      <c r="K79" s="1763"/>
      <c r="L79" s="1763"/>
      <c r="M79" s="1763"/>
      <c r="N79" s="1763"/>
    </row>
    <row r="80" spans="1:23" s="753" customFormat="1" ht="33.75" hidden="1" customHeight="1">
      <c r="C80" s="751"/>
      <c r="D80" s="752"/>
      <c r="E80" s="752"/>
      <c r="F80" s="752"/>
      <c r="G80" s="752">
        <f>(G77/90%)*10%</f>
        <v>79190.874846435909</v>
      </c>
      <c r="H80" s="752"/>
      <c r="I80" s="752"/>
      <c r="J80" s="752"/>
    </row>
    <row r="81" spans="2:14" s="753" customFormat="1" ht="62.25" hidden="1" customHeight="1">
      <c r="C81" s="1690"/>
      <c r="D81" s="1690"/>
      <c r="E81" s="1690"/>
      <c r="F81" s="1690"/>
      <c r="G81" s="1690"/>
      <c r="H81" s="1690"/>
      <c r="I81" s="1690"/>
      <c r="J81" s="1690"/>
      <c r="K81" s="1690"/>
      <c r="L81" s="1690"/>
      <c r="M81" s="1690"/>
      <c r="N81" s="1690"/>
    </row>
    <row r="82" spans="2:14" ht="28.5" customHeight="1">
      <c r="C82" s="550"/>
    </row>
    <row r="83" spans="2:14" ht="28.5" customHeight="1">
      <c r="B83" s="551"/>
    </row>
  </sheetData>
  <mergeCells count="25">
    <mergeCell ref="A1:A2"/>
    <mergeCell ref="D1:D2"/>
    <mergeCell ref="U1:U2"/>
    <mergeCell ref="C79:N79"/>
    <mergeCell ref="C81:N81"/>
    <mergeCell ref="L1:L2"/>
    <mergeCell ref="M1:M2"/>
    <mergeCell ref="N1:N2"/>
    <mergeCell ref="T1:T2"/>
    <mergeCell ref="I1:I2"/>
    <mergeCell ref="V1:V2"/>
    <mergeCell ref="W1:W2"/>
    <mergeCell ref="B1:B2"/>
    <mergeCell ref="C1:C2"/>
    <mergeCell ref="E1:E2"/>
    <mergeCell ref="F1:F2"/>
    <mergeCell ref="G1:G2"/>
    <mergeCell ref="H1:H2"/>
    <mergeCell ref="J1:J2"/>
    <mergeCell ref="K1:K2"/>
    <mergeCell ref="O1:O2"/>
    <mergeCell ref="P1:P2"/>
    <mergeCell ref="Q1:Q2"/>
    <mergeCell ref="R1:R2"/>
    <mergeCell ref="S1:S2"/>
  </mergeCells>
  <printOptions horizontalCentered="1"/>
  <pageMargins left="0.2" right="0.32" top="0.86" bottom="0.25" header="0.24" footer="0.25"/>
  <pageSetup paperSize="5" scale="59" firstPageNumber="66" orientation="portrait" useFirstPageNumber="1" r:id="rId1"/>
  <headerFooter alignWithMargins="0">
    <oddHeader xml:space="preserve">&amp;L&amp;"Arial,Bold"&amp;20Table 5C-2: FY2013-14 Budget Letter 
Type 2 Charter School Allocation (Louisiana Virtual Charter Academy) </oddHeader>
    <oddFooter>&amp;R&amp;P</oddFooter>
  </headerFooter>
  <colBreaks count="2" manualBreakCount="2">
    <brk id="9" max="78" man="1"/>
    <brk id="14" max="78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view="pageBreakPreview" topLeftCell="L1" zoomScale="90" zoomScaleNormal="85" zoomScaleSheetLayoutView="90" workbookViewId="0">
      <pane ySplit="3" topLeftCell="A4" activePane="bottomLeft" state="frozen"/>
      <selection activeCell="A2" sqref="A2:B4"/>
      <selection pane="bottomLeft" activeCell="O5" sqref="O5:O73"/>
    </sheetView>
  </sheetViews>
  <sheetFormatPr defaultColWidth="9.140625" defaultRowHeight="60.75" customHeight="1"/>
  <cols>
    <col min="1" max="1" width="3.42578125" style="536" bestFit="1" customWidth="1"/>
    <col min="2" max="2" width="33.28515625" style="536" customWidth="1"/>
    <col min="3" max="3" width="13.5703125" style="536" customWidth="1"/>
    <col min="4" max="4" width="13.42578125" style="536" customWidth="1"/>
    <col min="5" max="5" width="16.140625" style="549" customWidth="1"/>
    <col min="6" max="6" width="16.28515625" style="549" customWidth="1"/>
    <col min="7" max="7" width="15.5703125" style="549" customWidth="1"/>
    <col min="8" max="9" width="18.42578125" style="536" customWidth="1"/>
    <col min="10" max="10" width="16.28515625" style="536" customWidth="1"/>
    <col min="11" max="11" width="18.5703125" style="536" customWidth="1"/>
    <col min="12" max="12" width="13.7109375" style="536" bestFit="1" customWidth="1"/>
    <col min="13" max="13" width="17.5703125" style="536" bestFit="1" customWidth="1"/>
    <col min="14" max="14" width="15.28515625" style="536" bestFit="1" customWidth="1"/>
    <col min="15" max="15" width="11.7109375" style="536" customWidth="1"/>
    <col min="16" max="16" width="17.85546875" style="536" customWidth="1"/>
    <col min="17" max="17" width="12.7109375" style="536" bestFit="1" customWidth="1"/>
    <col min="18" max="18" width="15.7109375" style="536" customWidth="1"/>
    <col min="19" max="19" width="14.28515625" style="536" customWidth="1"/>
    <col min="20" max="20" width="15.5703125" style="536" customWidth="1"/>
    <col min="21" max="21" width="13" style="536" customWidth="1"/>
    <col min="22" max="22" width="17.28515625" style="536" customWidth="1"/>
    <col min="23" max="23" width="14.140625" style="536" customWidth="1"/>
    <col min="24" max="16384" width="9.140625" style="536"/>
  </cols>
  <sheetData>
    <row r="1" spans="1:23" ht="60.75" customHeight="1">
      <c r="A1" s="1750" t="s">
        <v>395</v>
      </c>
      <c r="B1" s="1750" t="s">
        <v>507</v>
      </c>
      <c r="C1" s="1752" t="s">
        <v>590</v>
      </c>
      <c r="D1" s="1583" t="s">
        <v>431</v>
      </c>
      <c r="E1" s="1754" t="s">
        <v>687</v>
      </c>
      <c r="F1" s="1755" t="s">
        <v>497</v>
      </c>
      <c r="G1" s="1685" t="s">
        <v>432</v>
      </c>
      <c r="H1" s="1754" t="s">
        <v>696</v>
      </c>
      <c r="I1" s="1766" t="s">
        <v>523</v>
      </c>
      <c r="J1" s="1628" t="s">
        <v>392</v>
      </c>
      <c r="K1" s="1754" t="s">
        <v>697</v>
      </c>
      <c r="L1" s="1764" t="s">
        <v>967</v>
      </c>
      <c r="M1" s="1754" t="s">
        <v>393</v>
      </c>
      <c r="N1" s="1766" t="s">
        <v>701</v>
      </c>
      <c r="O1" s="1653" t="s">
        <v>528</v>
      </c>
      <c r="P1" s="1653" t="s">
        <v>698</v>
      </c>
      <c r="Q1" s="1756" t="s">
        <v>394</v>
      </c>
      <c r="R1" s="1768" t="s">
        <v>699</v>
      </c>
      <c r="S1" s="1764" t="s">
        <v>967</v>
      </c>
      <c r="T1" s="1757" t="s">
        <v>700</v>
      </c>
      <c r="U1" s="1761" t="s">
        <v>672</v>
      </c>
      <c r="V1" s="1698" t="s">
        <v>702</v>
      </c>
      <c r="W1" s="1698" t="s">
        <v>703</v>
      </c>
    </row>
    <row r="2" spans="1:23" ht="79.5" customHeight="1">
      <c r="A2" s="1751"/>
      <c r="B2" s="1751"/>
      <c r="C2" s="1753"/>
      <c r="D2" s="1585"/>
      <c r="E2" s="1754"/>
      <c r="F2" s="1755"/>
      <c r="G2" s="1686"/>
      <c r="H2" s="1754"/>
      <c r="I2" s="1767"/>
      <c r="J2" s="1585"/>
      <c r="K2" s="1754"/>
      <c r="L2" s="1765"/>
      <c r="M2" s="1754"/>
      <c r="N2" s="1767"/>
      <c r="O2" s="1654"/>
      <c r="P2" s="1654"/>
      <c r="Q2" s="1654"/>
      <c r="R2" s="1762"/>
      <c r="S2" s="1765"/>
      <c r="T2" s="1758"/>
      <c r="U2" s="1762"/>
      <c r="V2" s="1699"/>
      <c r="W2" s="1699"/>
    </row>
    <row r="3" spans="1:23" s="540" customFormat="1" ht="16.5" customHeight="1">
      <c r="A3" s="537"/>
      <c r="B3" s="537"/>
      <c r="C3" s="538">
        <v>1</v>
      </c>
      <c r="D3" s="539">
        <f>C3+1</f>
        <v>2</v>
      </c>
      <c r="E3" s="539">
        <f>D3+1</f>
        <v>3</v>
      </c>
      <c r="F3" s="539">
        <f>E3+1</f>
        <v>4</v>
      </c>
      <c r="G3" s="539">
        <f>F3+1</f>
        <v>5</v>
      </c>
      <c r="H3" s="539">
        <f t="shared" ref="H3" si="0">G3+1</f>
        <v>6</v>
      </c>
      <c r="I3" s="539">
        <f t="shared" ref="I3" si="1">H3+1</f>
        <v>7</v>
      </c>
      <c r="J3" s="539">
        <f t="shared" ref="J3" si="2">I3+1</f>
        <v>8</v>
      </c>
      <c r="K3" s="539">
        <f t="shared" ref="K3" si="3">J3+1</f>
        <v>9</v>
      </c>
      <c r="L3" s="539">
        <f t="shared" ref="L3" si="4">K3+1</f>
        <v>10</v>
      </c>
      <c r="M3" s="539">
        <f t="shared" ref="M3" si="5">L3+1</f>
        <v>11</v>
      </c>
      <c r="N3" s="539">
        <f t="shared" ref="N3" si="6">M3+1</f>
        <v>12</v>
      </c>
      <c r="O3" s="539">
        <f t="shared" ref="O3" si="7">N3+1</f>
        <v>13</v>
      </c>
      <c r="P3" s="539">
        <f t="shared" ref="P3" si="8">O3+1</f>
        <v>14</v>
      </c>
      <c r="Q3" s="539">
        <f t="shared" ref="Q3" si="9">P3+1</f>
        <v>15</v>
      </c>
      <c r="R3" s="539">
        <f t="shared" ref="R3" si="10">Q3+1</f>
        <v>16</v>
      </c>
      <c r="S3" s="539">
        <f t="shared" ref="S3" si="11">R3+1</f>
        <v>17</v>
      </c>
      <c r="T3" s="539">
        <f t="shared" ref="T3" si="12">S3+1</f>
        <v>18</v>
      </c>
      <c r="U3" s="539">
        <f t="shared" ref="U3" si="13">T3+1</f>
        <v>19</v>
      </c>
      <c r="V3" s="539">
        <f t="shared" ref="V3" si="14">U3+1</f>
        <v>20</v>
      </c>
      <c r="W3" s="539">
        <f t="shared" ref="W3" si="15">V3+1</f>
        <v>21</v>
      </c>
    </row>
    <row r="4" spans="1:23" s="545" customFormat="1" ht="16.5" customHeight="1">
      <c r="A4" s="101">
        <v>1</v>
      </c>
      <c r="B4" s="797" t="s">
        <v>93</v>
      </c>
      <c r="C4" s="817">
        <f>'2-1-13 SIS'!L7</f>
        <v>18</v>
      </c>
      <c r="D4" s="818">
        <f>'Table 3 Levels 1&amp;2'!AL8*90%</f>
        <v>4137.8294406509494</v>
      </c>
      <c r="E4" s="818">
        <f>C4*D4</f>
        <v>74480.929931717095</v>
      </c>
      <c r="F4" s="819">
        <f>'Table 4 Level 3'!P6*90%</f>
        <v>699.73200000000008</v>
      </c>
      <c r="G4" s="819">
        <f>F4*C4</f>
        <v>12595.176000000001</v>
      </c>
      <c r="H4" s="819">
        <f>E4+G4</f>
        <v>87076.105931717102</v>
      </c>
      <c r="I4" s="819">
        <f>(('Table 3 Levels 1&amp;2'!AL8-D4)+('Table 4 Level 3'!P6-F4))*C4</f>
        <v>9675.1228813019025</v>
      </c>
      <c r="J4" s="819">
        <f>ROUND(-0.25%*H4,0)</f>
        <v>-218</v>
      </c>
      <c r="K4" s="820">
        <f>H4+J4</f>
        <v>86858.105931717102</v>
      </c>
      <c r="L4" s="820">
        <f>'[18]LA Conn Adjustment'!X5+'[16]Oct midyear LA Connections'!K4+'[19]Feb midyear adj_Connections'!M6</f>
        <v>0</v>
      </c>
      <c r="M4" s="821">
        <f>SUM(K4:L4)</f>
        <v>86858.105931717102</v>
      </c>
      <c r="N4" s="821">
        <f>ROUND(M4/12,0)</f>
        <v>7238</v>
      </c>
      <c r="O4" s="823">
        <f>'Table 5C1A-Madison Prep'!N7*90%</f>
        <v>1951.2</v>
      </c>
      <c r="P4" s="823">
        <f>O4*C4</f>
        <v>35121.599999999999</v>
      </c>
      <c r="Q4" s="823">
        <f>ROUND(P4*-0.25%,0)</f>
        <v>-88</v>
      </c>
      <c r="R4" s="823">
        <f>SUM(P4:Q4)</f>
        <v>35033.599999999999</v>
      </c>
      <c r="S4" s="822">
        <f>'[18]LA Conn Adjustment'!AB5+'[16]Oct midyear LA Connections'!P4+'[19]Feb midyear adj_Connections'!S6</f>
        <v>0</v>
      </c>
      <c r="T4" s="854">
        <f>SUM(R4:S4)</f>
        <v>35033.599999999999</v>
      </c>
      <c r="U4" s="854">
        <f>ROUND(T4/12,0)</f>
        <v>2919</v>
      </c>
      <c r="V4" s="824">
        <f>T4+M4</f>
        <v>121891.70593171709</v>
      </c>
      <c r="W4" s="824">
        <f>N4+U4</f>
        <v>10157</v>
      </c>
    </row>
    <row r="5" spans="1:23" s="545" customFormat="1" ht="16.5" customHeight="1">
      <c r="A5" s="101">
        <v>2</v>
      </c>
      <c r="B5" s="797" t="s">
        <v>94</v>
      </c>
      <c r="C5" s="825">
        <f>'2-1-13 SIS'!L8</f>
        <v>2</v>
      </c>
      <c r="D5" s="826">
        <f>'Table 3 Levels 1&amp;2'!AL9*90%</f>
        <v>5564.1882190624538</v>
      </c>
      <c r="E5" s="826">
        <f t="shared" ref="E5:E68" si="16">C5*D5</f>
        <v>11128.376438124908</v>
      </c>
      <c r="F5" s="827">
        <f>'Table 4 Level 3'!P7*90%</f>
        <v>758.08800000000008</v>
      </c>
      <c r="G5" s="827">
        <f t="shared" ref="G5:G68" si="17">F5*C5</f>
        <v>1516.1760000000002</v>
      </c>
      <c r="H5" s="827">
        <f t="shared" ref="H5:H68" si="18">E5+G5</f>
        <v>12644.552438124907</v>
      </c>
      <c r="I5" s="827">
        <f>(('Table 3 Levels 1&amp;2'!AL9-D5)+('Table 4 Level 3'!P7-F5))*C5</f>
        <v>1404.9502709027674</v>
      </c>
      <c r="J5" s="827">
        <f t="shared" ref="J5:J68" si="19">ROUND(-0.25%*H5,0)</f>
        <v>-32</v>
      </c>
      <c r="K5" s="828">
        <f t="shared" ref="K5:K68" si="20">H5+J5</f>
        <v>12612.552438124907</v>
      </c>
      <c r="L5" s="828">
        <f>'[18]LA Conn Adjustment'!X6+'[16]Oct midyear LA Connections'!K5+'[19]Feb midyear adj_Connections'!M7</f>
        <v>0</v>
      </c>
      <c r="M5" s="829">
        <f t="shared" ref="M5:M68" si="21">SUM(K5:L5)</f>
        <v>12612.552438124907</v>
      </c>
      <c r="N5" s="829">
        <f t="shared" ref="N5:N68" si="22">ROUND(M5/12,0)</f>
        <v>1051</v>
      </c>
      <c r="O5" s="831">
        <f>'Table 5C1A-Madison Prep'!N8*90%</f>
        <v>2364.3000000000002</v>
      </c>
      <c r="P5" s="831">
        <f t="shared" ref="P5:P68" si="23">O5*C5</f>
        <v>4728.6000000000004</v>
      </c>
      <c r="Q5" s="831">
        <f t="shared" ref="Q5:Q68" si="24">ROUND(P5*-0.25%,0)</f>
        <v>-12</v>
      </c>
      <c r="R5" s="831">
        <f t="shared" ref="R5:R68" si="25">SUM(P5:Q5)</f>
        <v>4716.6000000000004</v>
      </c>
      <c r="S5" s="830">
        <f>'[18]LA Conn Adjustment'!AB6+'[16]Oct midyear LA Connections'!P5+'[19]Feb midyear adj_Connections'!S7</f>
        <v>0</v>
      </c>
      <c r="T5" s="855">
        <f t="shared" ref="T5:T68" si="26">SUM(R5:S5)</f>
        <v>4716.6000000000004</v>
      </c>
      <c r="U5" s="855">
        <f t="shared" ref="U5:U68" si="27">ROUND(T5/12,0)</f>
        <v>393</v>
      </c>
      <c r="V5" s="832">
        <f t="shared" ref="V5:V68" si="28">T5+M5</f>
        <v>17329.152438124907</v>
      </c>
      <c r="W5" s="832">
        <f t="shared" ref="W5:W68" si="29">N5+U5</f>
        <v>1444</v>
      </c>
    </row>
    <row r="6" spans="1:23" s="545" customFormat="1" ht="16.5" customHeight="1">
      <c r="A6" s="101">
        <v>3</v>
      </c>
      <c r="B6" s="797" t="s">
        <v>95</v>
      </c>
      <c r="C6" s="825">
        <f>'2-1-13 SIS'!L9</f>
        <v>27</v>
      </c>
      <c r="D6" s="826">
        <f>'Table 3 Levels 1&amp;2'!AL10*90%</f>
        <v>3786.0396639168248</v>
      </c>
      <c r="E6" s="826">
        <f t="shared" si="16"/>
        <v>102223.07092575426</v>
      </c>
      <c r="F6" s="827">
        <f>'Table 4 Level 3'!P8*90%</f>
        <v>537.15600000000006</v>
      </c>
      <c r="G6" s="827">
        <f t="shared" si="17"/>
        <v>14503.212000000001</v>
      </c>
      <c r="H6" s="827">
        <f t="shared" si="18"/>
        <v>116726.28292575426</v>
      </c>
      <c r="I6" s="827">
        <f>(('Table 3 Levels 1&amp;2'!AL10-D6)+('Table 4 Level 3'!P8-F6))*C6</f>
        <v>12969.586991750477</v>
      </c>
      <c r="J6" s="827">
        <f t="shared" si="19"/>
        <v>-292</v>
      </c>
      <c r="K6" s="828">
        <f t="shared" si="20"/>
        <v>116434.28292575426</v>
      </c>
      <c r="L6" s="828">
        <f>'[18]LA Conn Adjustment'!X7+'[16]Oct midyear LA Connections'!K6+'[19]Feb midyear adj_Connections'!M8</f>
        <v>0</v>
      </c>
      <c r="M6" s="829">
        <f t="shared" si="21"/>
        <v>116434.28292575426</v>
      </c>
      <c r="N6" s="829">
        <f t="shared" si="22"/>
        <v>9703</v>
      </c>
      <c r="O6" s="831">
        <f>'Table 5C1A-Madison Prep'!N9*90%</f>
        <v>4887.9000000000005</v>
      </c>
      <c r="P6" s="831">
        <f t="shared" si="23"/>
        <v>131973.30000000002</v>
      </c>
      <c r="Q6" s="831">
        <f t="shared" si="24"/>
        <v>-330</v>
      </c>
      <c r="R6" s="831">
        <f t="shared" si="25"/>
        <v>131643.30000000002</v>
      </c>
      <c r="S6" s="830">
        <f>'[18]LA Conn Adjustment'!AB7+'[16]Oct midyear LA Connections'!P6+'[19]Feb midyear adj_Connections'!S8</f>
        <v>0</v>
      </c>
      <c r="T6" s="855">
        <f t="shared" si="26"/>
        <v>131643.30000000002</v>
      </c>
      <c r="U6" s="855">
        <f t="shared" si="27"/>
        <v>10970</v>
      </c>
      <c r="V6" s="832">
        <f t="shared" si="28"/>
        <v>248077.58292575428</v>
      </c>
      <c r="W6" s="832">
        <f t="shared" si="29"/>
        <v>20673</v>
      </c>
    </row>
    <row r="7" spans="1:23" s="545" customFormat="1" ht="16.5" customHeight="1">
      <c r="A7" s="101">
        <v>4</v>
      </c>
      <c r="B7" s="797" t="s">
        <v>96</v>
      </c>
      <c r="C7" s="825">
        <f>'2-1-13 SIS'!L10</f>
        <v>3</v>
      </c>
      <c r="D7" s="826">
        <f>'Table 3 Levels 1&amp;2'!AL11*90%</f>
        <v>5388.7494181907905</v>
      </c>
      <c r="E7" s="826">
        <f t="shared" si="16"/>
        <v>16166.248254572372</v>
      </c>
      <c r="F7" s="827">
        <f>'Table 4 Level 3'!P9*90%</f>
        <v>527.18399999999997</v>
      </c>
      <c r="G7" s="827">
        <f t="shared" si="17"/>
        <v>1581.5519999999999</v>
      </c>
      <c r="H7" s="827">
        <f t="shared" si="18"/>
        <v>17747.800254572372</v>
      </c>
      <c r="I7" s="827">
        <f>(('Table 3 Levels 1&amp;2'!AL11-D7)+('Table 4 Level 3'!P9-F7))*C7</f>
        <v>1971.9778060635954</v>
      </c>
      <c r="J7" s="827">
        <f t="shared" si="19"/>
        <v>-44</v>
      </c>
      <c r="K7" s="828">
        <f t="shared" si="20"/>
        <v>17703.800254572372</v>
      </c>
      <c r="L7" s="828">
        <f>'[18]LA Conn Adjustment'!X8+'[16]Oct midyear LA Connections'!K7+'[19]Feb midyear adj_Connections'!M9</f>
        <v>0</v>
      </c>
      <c r="M7" s="829">
        <f t="shared" si="21"/>
        <v>17703.800254572372</v>
      </c>
      <c r="N7" s="829">
        <f t="shared" si="22"/>
        <v>1475</v>
      </c>
      <c r="O7" s="831">
        <f>'Table 5C1A-Madison Prep'!N10*90%</f>
        <v>2726.1</v>
      </c>
      <c r="P7" s="831">
        <f t="shared" si="23"/>
        <v>8178.2999999999993</v>
      </c>
      <c r="Q7" s="831">
        <f t="shared" si="24"/>
        <v>-20</v>
      </c>
      <c r="R7" s="831">
        <f t="shared" si="25"/>
        <v>8158.2999999999993</v>
      </c>
      <c r="S7" s="830">
        <f>'[18]LA Conn Adjustment'!AB8+'[16]Oct midyear LA Connections'!P7+'[19]Feb midyear adj_Connections'!S9</f>
        <v>0</v>
      </c>
      <c r="T7" s="855">
        <f t="shared" si="26"/>
        <v>8158.2999999999993</v>
      </c>
      <c r="U7" s="855">
        <f t="shared" si="27"/>
        <v>680</v>
      </c>
      <c r="V7" s="832">
        <f t="shared" si="28"/>
        <v>25862.100254572371</v>
      </c>
      <c r="W7" s="832">
        <f t="shared" si="29"/>
        <v>2155</v>
      </c>
    </row>
    <row r="8" spans="1:23" s="545" customFormat="1" ht="16.5" customHeight="1">
      <c r="A8" s="102">
        <v>5</v>
      </c>
      <c r="B8" s="798" t="s">
        <v>97</v>
      </c>
      <c r="C8" s="833">
        <f>'2-1-13 SIS'!L11</f>
        <v>14</v>
      </c>
      <c r="D8" s="834">
        <f>'Table 3 Levels 1&amp;2'!AL12*90%</f>
        <v>4488.1350234372067</v>
      </c>
      <c r="E8" s="834">
        <f t="shared" si="16"/>
        <v>62833.890328120891</v>
      </c>
      <c r="F8" s="835">
        <f>'Table 4 Level 3'!P10*90%</f>
        <v>500.31899999999996</v>
      </c>
      <c r="G8" s="835">
        <f t="shared" si="17"/>
        <v>7004.4659999999994</v>
      </c>
      <c r="H8" s="835">
        <f t="shared" si="18"/>
        <v>69838.356328120892</v>
      </c>
      <c r="I8" s="835">
        <f>(('Table 3 Levels 1&amp;2'!AL12-D8)+('Table 4 Level 3'!P10-F8))*C8</f>
        <v>7759.8173697912107</v>
      </c>
      <c r="J8" s="835">
        <f t="shared" si="19"/>
        <v>-175</v>
      </c>
      <c r="K8" s="836">
        <f t="shared" si="20"/>
        <v>69663.356328120892</v>
      </c>
      <c r="L8" s="836">
        <f>'[18]LA Conn Adjustment'!X9+'[16]Oct midyear LA Connections'!K8+'[19]Feb midyear adj_Connections'!M10</f>
        <v>0</v>
      </c>
      <c r="M8" s="837">
        <f t="shared" si="21"/>
        <v>69663.356328120892</v>
      </c>
      <c r="N8" s="837">
        <f t="shared" si="22"/>
        <v>5805</v>
      </c>
      <c r="O8" s="839">
        <f>'Table 5C1A-Madison Prep'!N11*90%</f>
        <v>1575.9</v>
      </c>
      <c r="P8" s="839">
        <f t="shared" si="23"/>
        <v>22062.600000000002</v>
      </c>
      <c r="Q8" s="839">
        <f t="shared" si="24"/>
        <v>-55</v>
      </c>
      <c r="R8" s="839">
        <f t="shared" si="25"/>
        <v>22007.600000000002</v>
      </c>
      <c r="S8" s="838">
        <f>'[18]LA Conn Adjustment'!AB9+'[16]Oct midyear LA Connections'!P8+'[19]Feb midyear adj_Connections'!S10</f>
        <v>0</v>
      </c>
      <c r="T8" s="856">
        <f t="shared" si="26"/>
        <v>22007.600000000002</v>
      </c>
      <c r="U8" s="856">
        <f t="shared" si="27"/>
        <v>1834</v>
      </c>
      <c r="V8" s="840">
        <f t="shared" si="28"/>
        <v>91670.956328120898</v>
      </c>
      <c r="W8" s="840">
        <f t="shared" si="29"/>
        <v>7639</v>
      </c>
    </row>
    <row r="9" spans="1:23" s="545" customFormat="1" ht="16.5" customHeight="1">
      <c r="A9" s="101">
        <v>6</v>
      </c>
      <c r="B9" s="797" t="s">
        <v>98</v>
      </c>
      <c r="C9" s="817">
        <f>'2-1-13 SIS'!L12</f>
        <v>22</v>
      </c>
      <c r="D9" s="818">
        <f>'Table 3 Levels 1&amp;2'!AL13*90%</f>
        <v>4871.5095063834533</v>
      </c>
      <c r="E9" s="818">
        <f t="shared" si="16"/>
        <v>107173.20914043597</v>
      </c>
      <c r="F9" s="819">
        <f>'Table 4 Level 3'!P11*90%</f>
        <v>490.9319999999999</v>
      </c>
      <c r="G9" s="819">
        <f t="shared" si="17"/>
        <v>10800.503999999997</v>
      </c>
      <c r="H9" s="819">
        <f t="shared" si="18"/>
        <v>117973.71314043597</v>
      </c>
      <c r="I9" s="819">
        <f>(('Table 3 Levels 1&amp;2'!AL13-D9)+('Table 4 Level 3'!P11-F9))*C9</f>
        <v>13108.190348937331</v>
      </c>
      <c r="J9" s="819">
        <f t="shared" si="19"/>
        <v>-295</v>
      </c>
      <c r="K9" s="820">
        <f t="shared" si="20"/>
        <v>117678.71314043597</v>
      </c>
      <c r="L9" s="820">
        <f>'[18]LA Conn Adjustment'!X10+'[16]Oct midyear LA Connections'!K9+'[19]Feb midyear adj_Connections'!M11</f>
        <v>0</v>
      </c>
      <c r="M9" s="821">
        <f t="shared" si="21"/>
        <v>117678.71314043597</v>
      </c>
      <c r="N9" s="821">
        <f t="shared" si="22"/>
        <v>9807</v>
      </c>
      <c r="O9" s="823">
        <f>'Table 5C1A-Madison Prep'!N12*90%</f>
        <v>3361.5</v>
      </c>
      <c r="P9" s="823">
        <f t="shared" si="23"/>
        <v>73953</v>
      </c>
      <c r="Q9" s="823">
        <f t="shared" si="24"/>
        <v>-185</v>
      </c>
      <c r="R9" s="823">
        <f t="shared" si="25"/>
        <v>73768</v>
      </c>
      <c r="S9" s="822">
        <f>'[18]LA Conn Adjustment'!AB10+'[16]Oct midyear LA Connections'!P9+'[19]Feb midyear adj_Connections'!S11</f>
        <v>0</v>
      </c>
      <c r="T9" s="854">
        <f t="shared" si="26"/>
        <v>73768</v>
      </c>
      <c r="U9" s="854">
        <f t="shared" si="27"/>
        <v>6147</v>
      </c>
      <c r="V9" s="824">
        <f t="shared" si="28"/>
        <v>191446.71314043598</v>
      </c>
      <c r="W9" s="824">
        <f t="shared" si="29"/>
        <v>15954</v>
      </c>
    </row>
    <row r="10" spans="1:23" s="545" customFormat="1" ht="16.5" customHeight="1">
      <c r="A10" s="101">
        <v>7</v>
      </c>
      <c r="B10" s="797" t="s">
        <v>99</v>
      </c>
      <c r="C10" s="825">
        <f>'2-1-13 SIS'!L13</f>
        <v>8</v>
      </c>
      <c r="D10" s="826">
        <f>'Table 3 Levels 1&amp;2'!AL14*90%</f>
        <v>1589.4921243758511</v>
      </c>
      <c r="E10" s="826">
        <f t="shared" si="16"/>
        <v>12715.936995006809</v>
      </c>
      <c r="F10" s="827">
        <f>'Table 4 Level 3'!P12*90%</f>
        <v>681.22799999999984</v>
      </c>
      <c r="G10" s="827">
        <f t="shared" si="17"/>
        <v>5449.8239999999987</v>
      </c>
      <c r="H10" s="827">
        <f t="shared" si="18"/>
        <v>18165.760995006807</v>
      </c>
      <c r="I10" s="827">
        <f>(('Table 3 Levels 1&amp;2'!AL14-D10)+('Table 4 Level 3'!P12-F10))*C10</f>
        <v>2018.4178883340901</v>
      </c>
      <c r="J10" s="827">
        <f t="shared" si="19"/>
        <v>-45</v>
      </c>
      <c r="K10" s="828">
        <f t="shared" si="20"/>
        <v>18120.760995006807</v>
      </c>
      <c r="L10" s="828">
        <f>'[18]LA Conn Adjustment'!X11+'[16]Oct midyear LA Connections'!K10+'[19]Feb midyear adj_Connections'!M12</f>
        <v>0</v>
      </c>
      <c r="M10" s="829">
        <f t="shared" si="21"/>
        <v>18120.760995006807</v>
      </c>
      <c r="N10" s="829">
        <f t="shared" si="22"/>
        <v>1510</v>
      </c>
      <c r="O10" s="831">
        <f>'Table 5C1A-Madison Prep'!N13*90%</f>
        <v>10196.1</v>
      </c>
      <c r="P10" s="831">
        <f t="shared" si="23"/>
        <v>81568.800000000003</v>
      </c>
      <c r="Q10" s="831">
        <f t="shared" si="24"/>
        <v>-204</v>
      </c>
      <c r="R10" s="831">
        <f t="shared" si="25"/>
        <v>81364.800000000003</v>
      </c>
      <c r="S10" s="830">
        <f>'[18]LA Conn Adjustment'!AB11+'[16]Oct midyear LA Connections'!P10+'[19]Feb midyear adj_Connections'!S12</f>
        <v>0</v>
      </c>
      <c r="T10" s="855">
        <f t="shared" si="26"/>
        <v>81364.800000000003</v>
      </c>
      <c r="U10" s="855">
        <f t="shared" si="27"/>
        <v>6780</v>
      </c>
      <c r="V10" s="832">
        <f t="shared" si="28"/>
        <v>99485.560995006817</v>
      </c>
      <c r="W10" s="832">
        <f t="shared" si="29"/>
        <v>8290</v>
      </c>
    </row>
    <row r="11" spans="1:23" s="545" customFormat="1" ht="16.5" customHeight="1">
      <c r="A11" s="101">
        <v>8</v>
      </c>
      <c r="B11" s="797" t="s">
        <v>100</v>
      </c>
      <c r="C11" s="825">
        <f>'2-1-13 SIS'!L14</f>
        <v>45</v>
      </c>
      <c r="D11" s="826">
        <f>'Table 3 Levels 1&amp;2'!AL15*90%</f>
        <v>3860.5566246041099</v>
      </c>
      <c r="E11" s="826">
        <f t="shared" si="16"/>
        <v>173725.04810718494</v>
      </c>
      <c r="F11" s="827">
        <f>'Table 4 Level 3'!P13*90%</f>
        <v>653.18399999999997</v>
      </c>
      <c r="G11" s="827">
        <f t="shared" si="17"/>
        <v>29393.279999999999</v>
      </c>
      <c r="H11" s="827">
        <f t="shared" si="18"/>
        <v>203118.32810718493</v>
      </c>
      <c r="I11" s="827">
        <f>(('Table 3 Levels 1&amp;2'!AL15-D11)+('Table 4 Level 3'!P13-F11))*C11</f>
        <v>22568.703123020547</v>
      </c>
      <c r="J11" s="827">
        <f t="shared" si="19"/>
        <v>-508</v>
      </c>
      <c r="K11" s="828">
        <f t="shared" si="20"/>
        <v>202610.32810718493</v>
      </c>
      <c r="L11" s="828">
        <f>'[18]LA Conn Adjustment'!X12+'[16]Oct midyear LA Connections'!K11+'[19]Feb midyear adj_Connections'!M13</f>
        <v>0</v>
      </c>
      <c r="M11" s="829">
        <f t="shared" si="21"/>
        <v>202610.32810718493</v>
      </c>
      <c r="N11" s="829">
        <f t="shared" si="22"/>
        <v>16884</v>
      </c>
      <c r="O11" s="831">
        <f>'Table 5C1A-Madison Prep'!N14*90%</f>
        <v>3523.5</v>
      </c>
      <c r="P11" s="831">
        <f t="shared" si="23"/>
        <v>158557.5</v>
      </c>
      <c r="Q11" s="831">
        <f t="shared" si="24"/>
        <v>-396</v>
      </c>
      <c r="R11" s="831">
        <f t="shared" si="25"/>
        <v>158161.5</v>
      </c>
      <c r="S11" s="830">
        <f>'[18]LA Conn Adjustment'!AB12+'[16]Oct midyear LA Connections'!P11+'[19]Feb midyear adj_Connections'!S13</f>
        <v>0</v>
      </c>
      <c r="T11" s="855">
        <f t="shared" si="26"/>
        <v>158161.5</v>
      </c>
      <c r="U11" s="855">
        <f t="shared" si="27"/>
        <v>13180</v>
      </c>
      <c r="V11" s="832">
        <f t="shared" si="28"/>
        <v>360771.82810718496</v>
      </c>
      <c r="W11" s="832">
        <f t="shared" si="29"/>
        <v>30064</v>
      </c>
    </row>
    <row r="12" spans="1:23" s="545" customFormat="1" ht="16.5" customHeight="1">
      <c r="A12" s="101">
        <v>9</v>
      </c>
      <c r="B12" s="797" t="s">
        <v>101</v>
      </c>
      <c r="C12" s="825">
        <f>'2-1-13 SIS'!L15</f>
        <v>65</v>
      </c>
      <c r="D12" s="826">
        <f>'Table 3 Levels 1&amp;2'!AL16*90%</f>
        <v>3956.0539065200396</v>
      </c>
      <c r="E12" s="826">
        <f t="shared" si="16"/>
        <v>257143.50392380258</v>
      </c>
      <c r="F12" s="827">
        <f>'Table 4 Level 3'!P14*90%</f>
        <v>670.28399999999999</v>
      </c>
      <c r="G12" s="827">
        <f t="shared" si="17"/>
        <v>43568.46</v>
      </c>
      <c r="H12" s="827">
        <f t="shared" si="18"/>
        <v>300711.9639238026</v>
      </c>
      <c r="I12" s="827">
        <f>(('Table 3 Levels 1&amp;2'!AL16-D12)+('Table 4 Level 3'!P14-F12))*C12</f>
        <v>33412.44043597806</v>
      </c>
      <c r="J12" s="827">
        <f t="shared" si="19"/>
        <v>-752</v>
      </c>
      <c r="K12" s="828">
        <f t="shared" si="20"/>
        <v>299959.9639238026</v>
      </c>
      <c r="L12" s="828">
        <f>'[18]LA Conn Adjustment'!X13+'[16]Oct midyear LA Connections'!K12+'[19]Feb midyear adj_Connections'!M14</f>
        <v>0</v>
      </c>
      <c r="M12" s="829">
        <f t="shared" si="21"/>
        <v>299959.9639238026</v>
      </c>
      <c r="N12" s="829">
        <f t="shared" si="22"/>
        <v>24997</v>
      </c>
      <c r="O12" s="831">
        <f>'Table 5C1A-Madison Prep'!N15*90%</f>
        <v>4164.3</v>
      </c>
      <c r="P12" s="831">
        <f t="shared" si="23"/>
        <v>270679.5</v>
      </c>
      <c r="Q12" s="831">
        <f t="shared" si="24"/>
        <v>-677</v>
      </c>
      <c r="R12" s="831">
        <f t="shared" si="25"/>
        <v>270002.5</v>
      </c>
      <c r="S12" s="830">
        <f>'[18]LA Conn Adjustment'!AB13+'[16]Oct midyear LA Connections'!P12+'[19]Feb midyear adj_Connections'!S14</f>
        <v>0</v>
      </c>
      <c r="T12" s="855">
        <f t="shared" si="26"/>
        <v>270002.5</v>
      </c>
      <c r="U12" s="855">
        <f t="shared" si="27"/>
        <v>22500</v>
      </c>
      <c r="V12" s="832">
        <f t="shared" si="28"/>
        <v>569962.4639238026</v>
      </c>
      <c r="W12" s="832">
        <f t="shared" si="29"/>
        <v>47497</v>
      </c>
    </row>
    <row r="13" spans="1:23" s="545" customFormat="1" ht="16.5" customHeight="1">
      <c r="A13" s="102">
        <v>10</v>
      </c>
      <c r="B13" s="798" t="s">
        <v>102</v>
      </c>
      <c r="C13" s="833">
        <f>'2-1-13 SIS'!L16</f>
        <v>53</v>
      </c>
      <c r="D13" s="834">
        <f>'Table 3 Levels 1&amp;2'!AL17*90%</f>
        <v>3828.2382557093201</v>
      </c>
      <c r="E13" s="834">
        <f t="shared" si="16"/>
        <v>202896.62755259397</v>
      </c>
      <c r="F13" s="835">
        <f>'Table 4 Level 3'!P15*90%</f>
        <v>547.2360000000001</v>
      </c>
      <c r="G13" s="835">
        <f t="shared" si="17"/>
        <v>29003.508000000005</v>
      </c>
      <c r="H13" s="835">
        <f t="shared" si="18"/>
        <v>231900.13555259397</v>
      </c>
      <c r="I13" s="835">
        <f>(('Table 3 Levels 1&amp;2'!AL17-D13)+('Table 4 Level 3'!P15-F13))*C13</f>
        <v>25766.681728065985</v>
      </c>
      <c r="J13" s="835">
        <f t="shared" si="19"/>
        <v>-580</v>
      </c>
      <c r="K13" s="836">
        <f t="shared" si="20"/>
        <v>231320.13555259397</v>
      </c>
      <c r="L13" s="836">
        <f>'[18]LA Conn Adjustment'!X14+'[16]Oct midyear LA Connections'!K13+'[19]Feb midyear adj_Connections'!M15</f>
        <v>0</v>
      </c>
      <c r="M13" s="837">
        <f t="shared" si="21"/>
        <v>231320.13555259397</v>
      </c>
      <c r="N13" s="837">
        <f t="shared" si="22"/>
        <v>19277</v>
      </c>
      <c r="O13" s="839">
        <f>'Table 5C1A-Madison Prep'!N16*90%</f>
        <v>4040.1</v>
      </c>
      <c r="P13" s="839">
        <f t="shared" si="23"/>
        <v>214125.3</v>
      </c>
      <c r="Q13" s="839">
        <f t="shared" si="24"/>
        <v>-535</v>
      </c>
      <c r="R13" s="839">
        <f t="shared" si="25"/>
        <v>213590.3</v>
      </c>
      <c r="S13" s="838">
        <f>'[18]LA Conn Adjustment'!AB14+'[16]Oct midyear LA Connections'!P13+'[19]Feb midyear adj_Connections'!S15</f>
        <v>0</v>
      </c>
      <c r="T13" s="856">
        <f t="shared" si="26"/>
        <v>213590.3</v>
      </c>
      <c r="U13" s="856">
        <f t="shared" si="27"/>
        <v>17799</v>
      </c>
      <c r="V13" s="840">
        <f t="shared" si="28"/>
        <v>444910.43555259396</v>
      </c>
      <c r="W13" s="840">
        <f t="shared" si="29"/>
        <v>37076</v>
      </c>
    </row>
    <row r="14" spans="1:23" s="545" customFormat="1" ht="16.5" customHeight="1">
      <c r="A14" s="101">
        <v>11</v>
      </c>
      <c r="B14" s="797" t="s">
        <v>103</v>
      </c>
      <c r="C14" s="817">
        <f>'2-1-13 SIS'!L17</f>
        <v>2</v>
      </c>
      <c r="D14" s="818">
        <f>'Table 3 Levels 1&amp;2'!AL18*90%</f>
        <v>6167.6224591845157</v>
      </c>
      <c r="E14" s="818">
        <f t="shared" si="16"/>
        <v>12335.244918369031</v>
      </c>
      <c r="F14" s="819">
        <f>'Table 4 Level 3'!P16*90%</f>
        <v>635.89499999999998</v>
      </c>
      <c r="G14" s="819">
        <f t="shared" si="17"/>
        <v>1271.79</v>
      </c>
      <c r="H14" s="819">
        <f t="shared" si="18"/>
        <v>13607.03491836903</v>
      </c>
      <c r="I14" s="819">
        <f>(('Table 3 Levels 1&amp;2'!AL18-D14)+('Table 4 Level 3'!P16-F14))*C14</f>
        <v>1511.8927687076689</v>
      </c>
      <c r="J14" s="819">
        <f t="shared" si="19"/>
        <v>-34</v>
      </c>
      <c r="K14" s="820">
        <f t="shared" si="20"/>
        <v>13573.03491836903</v>
      </c>
      <c r="L14" s="820">
        <f>'[18]LA Conn Adjustment'!X15+'[16]Oct midyear LA Connections'!K14+'[19]Feb midyear adj_Connections'!M16</f>
        <v>0</v>
      </c>
      <c r="M14" s="821">
        <f t="shared" si="21"/>
        <v>13573.03491836903</v>
      </c>
      <c r="N14" s="821">
        <f t="shared" si="22"/>
        <v>1131</v>
      </c>
      <c r="O14" s="823">
        <f>'Table 5C1A-Madison Prep'!N17*90%</f>
        <v>3288.6</v>
      </c>
      <c r="P14" s="823">
        <f t="shared" si="23"/>
        <v>6577.2</v>
      </c>
      <c r="Q14" s="823">
        <f t="shared" si="24"/>
        <v>-16</v>
      </c>
      <c r="R14" s="823">
        <f t="shared" si="25"/>
        <v>6561.2</v>
      </c>
      <c r="S14" s="822">
        <f>'[18]LA Conn Adjustment'!AB15+'[16]Oct midyear LA Connections'!P14+'[19]Feb midyear adj_Connections'!S16</f>
        <v>0</v>
      </c>
      <c r="T14" s="854">
        <f t="shared" si="26"/>
        <v>6561.2</v>
      </c>
      <c r="U14" s="854">
        <f t="shared" si="27"/>
        <v>547</v>
      </c>
      <c r="V14" s="824">
        <f t="shared" si="28"/>
        <v>20134.234918369031</v>
      </c>
      <c r="W14" s="824">
        <f t="shared" si="29"/>
        <v>1678</v>
      </c>
    </row>
    <row r="15" spans="1:23" s="545" customFormat="1" ht="16.5" customHeight="1">
      <c r="A15" s="101">
        <v>12</v>
      </c>
      <c r="B15" s="797" t="s">
        <v>104</v>
      </c>
      <c r="C15" s="825">
        <f>'2-1-13 SIS'!L18</f>
        <v>1</v>
      </c>
      <c r="D15" s="826">
        <f>'Table 3 Levels 1&amp;2'!AL19*90%</f>
        <v>1560.515045342127</v>
      </c>
      <c r="E15" s="826">
        <f t="shared" si="16"/>
        <v>1560.515045342127</v>
      </c>
      <c r="F15" s="827">
        <f>'Table 4 Level 3'!P17*90%</f>
        <v>956.97899999999993</v>
      </c>
      <c r="G15" s="827">
        <f t="shared" si="17"/>
        <v>956.97899999999993</v>
      </c>
      <c r="H15" s="827">
        <f t="shared" si="18"/>
        <v>2517.4940453421268</v>
      </c>
      <c r="I15" s="827">
        <f>(('Table 3 Levels 1&amp;2'!AL19-D15)+('Table 4 Level 3'!P17-F15))*C15</f>
        <v>279.72156059356973</v>
      </c>
      <c r="J15" s="827">
        <f t="shared" si="19"/>
        <v>-6</v>
      </c>
      <c r="K15" s="828">
        <f t="shared" si="20"/>
        <v>2511.4940453421268</v>
      </c>
      <c r="L15" s="828">
        <f>'[18]LA Conn Adjustment'!X16+'[16]Oct midyear LA Connections'!K15+'[19]Feb midyear adj_Connections'!M17</f>
        <v>0</v>
      </c>
      <c r="M15" s="829">
        <f t="shared" si="21"/>
        <v>2511.4940453421268</v>
      </c>
      <c r="N15" s="829">
        <f t="shared" si="22"/>
        <v>209</v>
      </c>
      <c r="O15" s="831">
        <f>'Table 5C1A-Madison Prep'!N18*90%</f>
        <v>12390.300000000001</v>
      </c>
      <c r="P15" s="831">
        <f t="shared" si="23"/>
        <v>12390.300000000001</v>
      </c>
      <c r="Q15" s="831">
        <f t="shared" si="24"/>
        <v>-31</v>
      </c>
      <c r="R15" s="831">
        <f t="shared" si="25"/>
        <v>12359.300000000001</v>
      </c>
      <c r="S15" s="830">
        <f>'[18]LA Conn Adjustment'!AB16+'[16]Oct midyear LA Connections'!P15+'[19]Feb midyear adj_Connections'!S17</f>
        <v>0</v>
      </c>
      <c r="T15" s="855">
        <f t="shared" si="26"/>
        <v>12359.300000000001</v>
      </c>
      <c r="U15" s="855">
        <f t="shared" si="27"/>
        <v>1030</v>
      </c>
      <c r="V15" s="832">
        <f t="shared" si="28"/>
        <v>14870.794045342129</v>
      </c>
      <c r="W15" s="832">
        <f t="shared" si="29"/>
        <v>1239</v>
      </c>
    </row>
    <row r="16" spans="1:23" s="545" customFormat="1" ht="16.5" customHeight="1">
      <c r="A16" s="101">
        <v>13</v>
      </c>
      <c r="B16" s="797" t="s">
        <v>105</v>
      </c>
      <c r="C16" s="825">
        <f>'2-1-13 SIS'!L19</f>
        <v>3</v>
      </c>
      <c r="D16" s="826">
        <f>'Table 3 Levels 1&amp;2'!AL20*90%</f>
        <v>5628.7114773957792</v>
      </c>
      <c r="E16" s="826">
        <f t="shared" si="16"/>
        <v>16886.134432187337</v>
      </c>
      <c r="F16" s="827">
        <f>'Table 4 Level 3'!P18*90%</f>
        <v>674.48700000000008</v>
      </c>
      <c r="G16" s="827">
        <f t="shared" si="17"/>
        <v>2023.4610000000002</v>
      </c>
      <c r="H16" s="827">
        <f t="shared" si="18"/>
        <v>18909.595432187336</v>
      </c>
      <c r="I16" s="827">
        <f>(('Table 3 Levels 1&amp;2'!AL20-D16)+('Table 4 Level 3'!P18-F16))*C16</f>
        <v>2101.0661591319249</v>
      </c>
      <c r="J16" s="827">
        <f t="shared" si="19"/>
        <v>-47</v>
      </c>
      <c r="K16" s="828">
        <f t="shared" si="20"/>
        <v>18862.595432187336</v>
      </c>
      <c r="L16" s="828">
        <f>'[18]LA Conn Adjustment'!X17+'[16]Oct midyear LA Connections'!K16+'[19]Feb midyear adj_Connections'!M18</f>
        <v>0</v>
      </c>
      <c r="M16" s="829">
        <f t="shared" si="21"/>
        <v>18862.595432187336</v>
      </c>
      <c r="N16" s="829">
        <f t="shared" si="22"/>
        <v>1572</v>
      </c>
      <c r="O16" s="831">
        <f>'Table 5C1A-Madison Prep'!N19*90%</f>
        <v>2272.5</v>
      </c>
      <c r="P16" s="831">
        <f t="shared" si="23"/>
        <v>6817.5</v>
      </c>
      <c r="Q16" s="831">
        <f t="shared" si="24"/>
        <v>-17</v>
      </c>
      <c r="R16" s="831">
        <f t="shared" si="25"/>
        <v>6800.5</v>
      </c>
      <c r="S16" s="830">
        <f>'[18]LA Conn Adjustment'!AB17+'[16]Oct midyear LA Connections'!P16+'[19]Feb midyear adj_Connections'!S18</f>
        <v>0</v>
      </c>
      <c r="T16" s="855">
        <f t="shared" si="26"/>
        <v>6800.5</v>
      </c>
      <c r="U16" s="855">
        <f t="shared" si="27"/>
        <v>567</v>
      </c>
      <c r="V16" s="832">
        <f t="shared" si="28"/>
        <v>25663.095432187336</v>
      </c>
      <c r="W16" s="832">
        <f t="shared" si="29"/>
        <v>2139</v>
      </c>
    </row>
    <row r="17" spans="1:23" s="545" customFormat="1" ht="16.5" customHeight="1">
      <c r="A17" s="101">
        <v>14</v>
      </c>
      <c r="B17" s="797" t="s">
        <v>106</v>
      </c>
      <c r="C17" s="825">
        <f>'2-1-13 SIS'!L20</f>
        <v>11</v>
      </c>
      <c r="D17" s="826">
        <f>'Table 3 Levels 1&amp;2'!AL21*90%</f>
        <v>4840.1268694690916</v>
      </c>
      <c r="E17" s="826">
        <f t="shared" si="16"/>
        <v>53241.395564160004</v>
      </c>
      <c r="F17" s="827">
        <f>'Table 4 Level 3'!P19*90%</f>
        <v>728.98199999999997</v>
      </c>
      <c r="G17" s="827">
        <f t="shared" si="17"/>
        <v>8018.8019999999997</v>
      </c>
      <c r="H17" s="827">
        <f t="shared" si="18"/>
        <v>61260.19756416</v>
      </c>
      <c r="I17" s="827">
        <f>(('Table 3 Levels 1&amp;2'!AL21-D17)+('Table 4 Level 3'!P19-F17))*C17</f>
        <v>6806.6886182399967</v>
      </c>
      <c r="J17" s="827">
        <f t="shared" si="19"/>
        <v>-153</v>
      </c>
      <c r="K17" s="828">
        <f t="shared" si="20"/>
        <v>61107.19756416</v>
      </c>
      <c r="L17" s="828">
        <f>'[18]LA Conn Adjustment'!X18+'[16]Oct midyear LA Connections'!K17+'[19]Feb midyear adj_Connections'!M19</f>
        <v>0</v>
      </c>
      <c r="M17" s="829">
        <f t="shared" si="21"/>
        <v>61107.19756416</v>
      </c>
      <c r="N17" s="829">
        <f t="shared" si="22"/>
        <v>5092</v>
      </c>
      <c r="O17" s="831">
        <f>'Table 5C1A-Madison Prep'!N20*90%</f>
        <v>3589.2000000000003</v>
      </c>
      <c r="P17" s="831">
        <f t="shared" si="23"/>
        <v>39481.200000000004</v>
      </c>
      <c r="Q17" s="831">
        <f t="shared" si="24"/>
        <v>-99</v>
      </c>
      <c r="R17" s="831">
        <f t="shared" si="25"/>
        <v>39382.200000000004</v>
      </c>
      <c r="S17" s="830">
        <f>'[18]LA Conn Adjustment'!AB18+'[16]Oct midyear LA Connections'!P17+'[19]Feb midyear adj_Connections'!S19</f>
        <v>0</v>
      </c>
      <c r="T17" s="855">
        <f t="shared" si="26"/>
        <v>39382.200000000004</v>
      </c>
      <c r="U17" s="855">
        <f t="shared" si="27"/>
        <v>3282</v>
      </c>
      <c r="V17" s="832">
        <f t="shared" si="28"/>
        <v>100489.39756416</v>
      </c>
      <c r="W17" s="832">
        <f t="shared" si="29"/>
        <v>8374</v>
      </c>
    </row>
    <row r="18" spans="1:23" s="545" customFormat="1" ht="16.5" customHeight="1">
      <c r="A18" s="102">
        <v>15</v>
      </c>
      <c r="B18" s="798" t="s">
        <v>107</v>
      </c>
      <c r="C18" s="833">
        <f>'2-1-13 SIS'!L21</f>
        <v>3</v>
      </c>
      <c r="D18" s="834">
        <f>'Table 3 Levels 1&amp;2'!AL22*90%</f>
        <v>4974.9886077856072</v>
      </c>
      <c r="E18" s="834">
        <f t="shared" si="16"/>
        <v>14924.965823356823</v>
      </c>
      <c r="F18" s="835">
        <f>'Table 4 Level 3'!P20*90%</f>
        <v>498.41999999999996</v>
      </c>
      <c r="G18" s="835">
        <f t="shared" si="17"/>
        <v>1495.2599999999998</v>
      </c>
      <c r="H18" s="835">
        <f t="shared" si="18"/>
        <v>16420.225823356821</v>
      </c>
      <c r="I18" s="835">
        <f>(('Table 3 Levels 1&amp;2'!AL22-D18)+('Table 4 Level 3'!P20-F18))*C18</f>
        <v>1824.4695359285365</v>
      </c>
      <c r="J18" s="835">
        <f t="shared" si="19"/>
        <v>-41</v>
      </c>
      <c r="K18" s="836">
        <f t="shared" si="20"/>
        <v>16379.225823356821</v>
      </c>
      <c r="L18" s="836">
        <f>'[18]LA Conn Adjustment'!X19+'[16]Oct midyear LA Connections'!K18+'[19]Feb midyear adj_Connections'!M20</f>
        <v>0</v>
      </c>
      <c r="M18" s="837">
        <f t="shared" si="21"/>
        <v>16379.225823356821</v>
      </c>
      <c r="N18" s="837">
        <f t="shared" si="22"/>
        <v>1365</v>
      </c>
      <c r="O18" s="839">
        <f>'Table 5C1A-Madison Prep'!N21*90%</f>
        <v>2289.6</v>
      </c>
      <c r="P18" s="839">
        <f t="shared" si="23"/>
        <v>6868.7999999999993</v>
      </c>
      <c r="Q18" s="839">
        <f t="shared" si="24"/>
        <v>-17</v>
      </c>
      <c r="R18" s="839">
        <f t="shared" si="25"/>
        <v>6851.7999999999993</v>
      </c>
      <c r="S18" s="838">
        <f>'[18]LA Conn Adjustment'!AB19+'[16]Oct midyear LA Connections'!P18+'[19]Feb midyear adj_Connections'!S20</f>
        <v>0</v>
      </c>
      <c r="T18" s="856">
        <f t="shared" si="26"/>
        <v>6851.7999999999993</v>
      </c>
      <c r="U18" s="856">
        <f t="shared" si="27"/>
        <v>571</v>
      </c>
      <c r="V18" s="840">
        <f t="shared" si="28"/>
        <v>23231.02582335682</v>
      </c>
      <c r="W18" s="840">
        <f t="shared" si="29"/>
        <v>1936</v>
      </c>
    </row>
    <row r="19" spans="1:23" s="545" customFormat="1" ht="16.5" customHeight="1">
      <c r="A19" s="101">
        <v>16</v>
      </c>
      <c r="B19" s="797" t="s">
        <v>108</v>
      </c>
      <c r="C19" s="817">
        <f>'2-1-13 SIS'!L22</f>
        <v>6</v>
      </c>
      <c r="D19" s="818">
        <f>'Table 3 Levels 1&amp;2'!AL23*90%</f>
        <v>1377.3310960839726</v>
      </c>
      <c r="E19" s="818">
        <f t="shared" si="16"/>
        <v>8263.9865765038357</v>
      </c>
      <c r="F19" s="819">
        <f>'Table 4 Level 3'!P21*90%</f>
        <v>618.05700000000002</v>
      </c>
      <c r="G19" s="819">
        <f t="shared" si="17"/>
        <v>3708.3420000000001</v>
      </c>
      <c r="H19" s="819">
        <f t="shared" si="18"/>
        <v>11972.328576503836</v>
      </c>
      <c r="I19" s="819">
        <f>(('Table 3 Levels 1&amp;2'!AL23-D19)+('Table 4 Level 3'!P21-F19))*C19</f>
        <v>1330.2587307226486</v>
      </c>
      <c r="J19" s="819">
        <f t="shared" si="19"/>
        <v>-30</v>
      </c>
      <c r="K19" s="820">
        <f t="shared" si="20"/>
        <v>11942.328576503836</v>
      </c>
      <c r="L19" s="820">
        <f>'[18]LA Conn Adjustment'!X20+'[16]Oct midyear LA Connections'!K19+'[19]Feb midyear adj_Connections'!M21</f>
        <v>0</v>
      </c>
      <c r="M19" s="821">
        <f t="shared" si="21"/>
        <v>11942.328576503836</v>
      </c>
      <c r="N19" s="821">
        <f t="shared" si="22"/>
        <v>995</v>
      </c>
      <c r="O19" s="823">
        <f>'Table 5C1A-Madison Prep'!N22*90%</f>
        <v>10918.800000000001</v>
      </c>
      <c r="P19" s="823">
        <f t="shared" si="23"/>
        <v>65512.800000000003</v>
      </c>
      <c r="Q19" s="823">
        <f t="shared" si="24"/>
        <v>-164</v>
      </c>
      <c r="R19" s="823">
        <f t="shared" si="25"/>
        <v>65348.800000000003</v>
      </c>
      <c r="S19" s="822">
        <f>'[18]LA Conn Adjustment'!AB20+'[16]Oct midyear LA Connections'!P19+'[19]Feb midyear adj_Connections'!S21</f>
        <v>0</v>
      </c>
      <c r="T19" s="854">
        <f t="shared" si="26"/>
        <v>65348.800000000003</v>
      </c>
      <c r="U19" s="854">
        <f t="shared" si="27"/>
        <v>5446</v>
      </c>
      <c r="V19" s="824">
        <f t="shared" si="28"/>
        <v>77291.128576503834</v>
      </c>
      <c r="W19" s="824">
        <f t="shared" si="29"/>
        <v>6441</v>
      </c>
    </row>
    <row r="20" spans="1:23" s="545" customFormat="1" ht="16.5" customHeight="1">
      <c r="A20" s="101">
        <v>17</v>
      </c>
      <c r="B20" s="797" t="s">
        <v>109</v>
      </c>
      <c r="C20" s="825">
        <f>'2-1-13 SIS'!L23</f>
        <v>76</v>
      </c>
      <c r="D20" s="826">
        <f>'Table 3 Levels 1&amp;2'!AL24*90%</f>
        <v>2981.7599681716024</v>
      </c>
      <c r="E20" s="826">
        <f t="shared" si="16"/>
        <v>226613.75758104178</v>
      </c>
      <c r="F20" s="827">
        <f>'Table 5B2_RSD_LA'!F7*90%</f>
        <v>721.32986175126121</v>
      </c>
      <c r="G20" s="827">
        <f t="shared" si="17"/>
        <v>54821.069493095849</v>
      </c>
      <c r="H20" s="827">
        <f t="shared" si="18"/>
        <v>281434.82707413763</v>
      </c>
      <c r="I20" s="827">
        <f>(('Table 3 Levels 1&amp;2'!AL24-D20)+('Table 4 Level 3'!P22-F20))*C20</f>
        <v>31270.536341570853</v>
      </c>
      <c r="J20" s="827">
        <f t="shared" si="19"/>
        <v>-704</v>
      </c>
      <c r="K20" s="828">
        <f t="shared" si="20"/>
        <v>280730.82707413763</v>
      </c>
      <c r="L20" s="828">
        <f>'[18]LA Conn Adjustment'!X21+'[16]Oct midyear LA Connections'!K20+'[19]Feb midyear adj_Connections'!M22</f>
        <v>-3777.4818974478985</v>
      </c>
      <c r="M20" s="829">
        <f t="shared" si="21"/>
        <v>276953.34517668973</v>
      </c>
      <c r="N20" s="829">
        <f t="shared" si="22"/>
        <v>23079</v>
      </c>
      <c r="O20" s="831">
        <f>'Table 5C1A-Madison Prep'!N23*90%</f>
        <v>6087.6</v>
      </c>
      <c r="P20" s="831">
        <f t="shared" si="23"/>
        <v>462657.60000000003</v>
      </c>
      <c r="Q20" s="831">
        <f t="shared" si="24"/>
        <v>-1157</v>
      </c>
      <c r="R20" s="831">
        <f t="shared" si="25"/>
        <v>461500.60000000003</v>
      </c>
      <c r="S20" s="830">
        <f>'[18]LA Conn Adjustment'!AB21+'[16]Oct midyear LA Connections'!P20+'[19]Feb midyear adj_Connections'!S22</f>
        <v>-5940.9000000000005</v>
      </c>
      <c r="T20" s="855">
        <f t="shared" si="26"/>
        <v>455559.7</v>
      </c>
      <c r="U20" s="855">
        <f t="shared" si="27"/>
        <v>37963</v>
      </c>
      <c r="V20" s="832">
        <f t="shared" si="28"/>
        <v>732513.04517668975</v>
      </c>
      <c r="W20" s="832">
        <f t="shared" si="29"/>
        <v>61042</v>
      </c>
    </row>
    <row r="21" spans="1:23" s="545" customFormat="1" ht="16.5" customHeight="1">
      <c r="A21" s="101">
        <v>18</v>
      </c>
      <c r="B21" s="797" t="s">
        <v>110</v>
      </c>
      <c r="C21" s="825">
        <f>'2-1-13 SIS'!L24</f>
        <v>0</v>
      </c>
      <c r="D21" s="826">
        <f>'Table 3 Levels 1&amp;2'!AL25*90%</f>
        <v>5390.221670356912</v>
      </c>
      <c r="E21" s="826">
        <f t="shared" si="16"/>
        <v>0</v>
      </c>
      <c r="F21" s="827">
        <f>'Table 4 Level 3'!P23*90%</f>
        <v>761.3549999999999</v>
      </c>
      <c r="G21" s="827">
        <f t="shared" si="17"/>
        <v>0</v>
      </c>
      <c r="H21" s="827">
        <f t="shared" si="18"/>
        <v>0</v>
      </c>
      <c r="I21" s="827">
        <f>(('Table 3 Levels 1&amp;2'!AL25-D21)+('Table 4 Level 3'!P23-F21))*C21</f>
        <v>0</v>
      </c>
      <c r="J21" s="827">
        <f t="shared" si="19"/>
        <v>0</v>
      </c>
      <c r="K21" s="828">
        <f t="shared" si="20"/>
        <v>0</v>
      </c>
      <c r="L21" s="828">
        <f>'[18]LA Conn Adjustment'!X22+'[16]Oct midyear LA Connections'!K21+'[19]Feb midyear adj_Connections'!M23</f>
        <v>0</v>
      </c>
      <c r="M21" s="829">
        <f t="shared" si="21"/>
        <v>0</v>
      </c>
      <c r="N21" s="829">
        <f t="shared" si="22"/>
        <v>0</v>
      </c>
      <c r="O21" s="831">
        <f>'Table 5C1A-Madison Prep'!N24*90%</f>
        <v>2632.5</v>
      </c>
      <c r="P21" s="831">
        <f t="shared" si="23"/>
        <v>0</v>
      </c>
      <c r="Q21" s="831">
        <f t="shared" si="24"/>
        <v>0</v>
      </c>
      <c r="R21" s="831">
        <f t="shared" si="25"/>
        <v>0</v>
      </c>
      <c r="S21" s="830">
        <f>'[18]LA Conn Adjustment'!AB22+'[16]Oct midyear LA Connections'!P21+'[19]Feb midyear adj_Connections'!S23</f>
        <v>0</v>
      </c>
      <c r="T21" s="855">
        <f t="shared" si="26"/>
        <v>0</v>
      </c>
      <c r="U21" s="855">
        <f t="shared" si="27"/>
        <v>0</v>
      </c>
      <c r="V21" s="832">
        <f t="shared" si="28"/>
        <v>0</v>
      </c>
      <c r="W21" s="832">
        <f t="shared" si="29"/>
        <v>0</v>
      </c>
    </row>
    <row r="22" spans="1:23" s="545" customFormat="1" ht="16.5" customHeight="1">
      <c r="A22" s="101">
        <v>19</v>
      </c>
      <c r="B22" s="797" t="s">
        <v>111</v>
      </c>
      <c r="C22" s="825">
        <f>'2-1-13 SIS'!L25</f>
        <v>6</v>
      </c>
      <c r="D22" s="826">
        <f>'Table 3 Levels 1&amp;2'!AL26*90%</f>
        <v>4784.3022059737232</v>
      </c>
      <c r="E22" s="826">
        <f t="shared" si="16"/>
        <v>28705.813235842339</v>
      </c>
      <c r="F22" s="827">
        <f>'Table 4 Level 3'!P24*90%</f>
        <v>814.88699999999994</v>
      </c>
      <c r="G22" s="827">
        <f t="shared" si="17"/>
        <v>4889.3220000000001</v>
      </c>
      <c r="H22" s="827">
        <f t="shared" si="18"/>
        <v>33595.135235842339</v>
      </c>
      <c r="I22" s="827">
        <f>(('Table 3 Levels 1&amp;2'!AL26-D22)+('Table 4 Level 3'!P24-F22))*C22</f>
        <v>3732.7928039824819</v>
      </c>
      <c r="J22" s="827">
        <f t="shared" si="19"/>
        <v>-84</v>
      </c>
      <c r="K22" s="828">
        <f t="shared" si="20"/>
        <v>33511.135235842339</v>
      </c>
      <c r="L22" s="828">
        <f>'[18]LA Conn Adjustment'!X23+'[16]Oct midyear LA Connections'!K22+'[19]Feb midyear adj_Connections'!M24</f>
        <v>0</v>
      </c>
      <c r="M22" s="829">
        <f t="shared" si="21"/>
        <v>33511.135235842339</v>
      </c>
      <c r="N22" s="829">
        <f t="shared" si="22"/>
        <v>2793</v>
      </c>
      <c r="O22" s="831">
        <f>'Table 5C1A-Madison Prep'!N25*90%</f>
        <v>2313</v>
      </c>
      <c r="P22" s="831">
        <f t="shared" si="23"/>
        <v>13878</v>
      </c>
      <c r="Q22" s="831">
        <f t="shared" si="24"/>
        <v>-35</v>
      </c>
      <c r="R22" s="831">
        <f t="shared" si="25"/>
        <v>13843</v>
      </c>
      <c r="S22" s="830">
        <f>'[18]LA Conn Adjustment'!AB23+'[16]Oct midyear LA Connections'!P22+'[19]Feb midyear adj_Connections'!S24</f>
        <v>0</v>
      </c>
      <c r="T22" s="855">
        <f t="shared" si="26"/>
        <v>13843</v>
      </c>
      <c r="U22" s="855">
        <f t="shared" si="27"/>
        <v>1154</v>
      </c>
      <c r="V22" s="832">
        <f t="shared" si="28"/>
        <v>47354.135235842339</v>
      </c>
      <c r="W22" s="832">
        <f t="shared" si="29"/>
        <v>3947</v>
      </c>
    </row>
    <row r="23" spans="1:23" s="545" customFormat="1" ht="16.5" customHeight="1">
      <c r="A23" s="102">
        <v>20</v>
      </c>
      <c r="B23" s="798" t="s">
        <v>112</v>
      </c>
      <c r="C23" s="833">
        <f>'2-1-13 SIS'!L26</f>
        <v>4</v>
      </c>
      <c r="D23" s="834">
        <f>'Table 3 Levels 1&amp;2'!AL27*90%</f>
        <v>4878.1838627285251</v>
      </c>
      <c r="E23" s="834">
        <f t="shared" si="16"/>
        <v>19512.735450914101</v>
      </c>
      <c r="F23" s="835">
        <f>'Table 4 Level 3'!P25*90%</f>
        <v>527.553</v>
      </c>
      <c r="G23" s="835">
        <f t="shared" si="17"/>
        <v>2110.212</v>
      </c>
      <c r="H23" s="835">
        <f t="shared" si="18"/>
        <v>21622.9474509141</v>
      </c>
      <c r="I23" s="835">
        <f>(('Table 3 Levels 1&amp;2'!AL27-D23)+('Table 4 Level 3'!P25-F23))*C23</f>
        <v>2402.5497167682324</v>
      </c>
      <c r="J23" s="835">
        <f t="shared" si="19"/>
        <v>-54</v>
      </c>
      <c r="K23" s="836">
        <f t="shared" si="20"/>
        <v>21568.9474509141</v>
      </c>
      <c r="L23" s="836">
        <f>'[18]LA Conn Adjustment'!X24+'[16]Oct midyear LA Connections'!K23+'[19]Feb midyear adj_Connections'!M25</f>
        <v>0</v>
      </c>
      <c r="M23" s="837">
        <f t="shared" si="21"/>
        <v>21568.9474509141</v>
      </c>
      <c r="N23" s="837">
        <f t="shared" si="22"/>
        <v>1797</v>
      </c>
      <c r="O23" s="839">
        <f>'Table 5C1A-Madison Prep'!N26*90%</f>
        <v>2178</v>
      </c>
      <c r="P23" s="839">
        <f t="shared" si="23"/>
        <v>8712</v>
      </c>
      <c r="Q23" s="839">
        <f t="shared" si="24"/>
        <v>-22</v>
      </c>
      <c r="R23" s="839">
        <f t="shared" si="25"/>
        <v>8690</v>
      </c>
      <c r="S23" s="838">
        <f>'[18]LA Conn Adjustment'!AB24+'[16]Oct midyear LA Connections'!P23+'[19]Feb midyear adj_Connections'!S25</f>
        <v>0</v>
      </c>
      <c r="T23" s="856">
        <f t="shared" si="26"/>
        <v>8690</v>
      </c>
      <c r="U23" s="856">
        <f t="shared" si="27"/>
        <v>724</v>
      </c>
      <c r="V23" s="840">
        <f t="shared" si="28"/>
        <v>30258.9474509141</v>
      </c>
      <c r="W23" s="840">
        <f t="shared" si="29"/>
        <v>2521</v>
      </c>
    </row>
    <row r="24" spans="1:23" s="545" customFormat="1" ht="16.5" customHeight="1">
      <c r="A24" s="101">
        <v>21</v>
      </c>
      <c r="B24" s="797" t="s">
        <v>113</v>
      </c>
      <c r="C24" s="817">
        <f>'2-1-13 SIS'!L27</f>
        <v>10</v>
      </c>
      <c r="D24" s="818">
        <f>'Table 3 Levels 1&amp;2'!AL28*90%</f>
        <v>5152.0864424651163</v>
      </c>
      <c r="E24" s="818">
        <f t="shared" si="16"/>
        <v>51520.864424651161</v>
      </c>
      <c r="F24" s="819">
        <f>'Table 4 Level 3'!P26*90%</f>
        <v>549.31500000000005</v>
      </c>
      <c r="G24" s="819">
        <f t="shared" si="17"/>
        <v>5493.1500000000005</v>
      </c>
      <c r="H24" s="819">
        <f t="shared" si="18"/>
        <v>57014.014424651163</v>
      </c>
      <c r="I24" s="819">
        <f>(('Table 3 Levels 1&amp;2'!AL28-D24)+('Table 4 Level 3'!P26-F24))*C24</f>
        <v>6334.8904916279034</v>
      </c>
      <c r="J24" s="819">
        <f t="shared" si="19"/>
        <v>-143</v>
      </c>
      <c r="K24" s="820">
        <f t="shared" si="20"/>
        <v>56871.014424651163</v>
      </c>
      <c r="L24" s="820">
        <f>'[18]LA Conn Adjustment'!X25+'[16]Oct midyear LA Connections'!K24+'[19]Feb midyear adj_Connections'!M26</f>
        <v>0</v>
      </c>
      <c r="M24" s="821">
        <f t="shared" si="21"/>
        <v>56871.014424651163</v>
      </c>
      <c r="N24" s="821">
        <f t="shared" si="22"/>
        <v>4739</v>
      </c>
      <c r="O24" s="823">
        <f>'Table 5C1A-Madison Prep'!N27*90%</f>
        <v>2038.5</v>
      </c>
      <c r="P24" s="823">
        <f t="shared" si="23"/>
        <v>20385</v>
      </c>
      <c r="Q24" s="823">
        <f t="shared" si="24"/>
        <v>-51</v>
      </c>
      <c r="R24" s="823">
        <f t="shared" si="25"/>
        <v>20334</v>
      </c>
      <c r="S24" s="822">
        <f>'[18]LA Conn Adjustment'!AB25+'[16]Oct midyear LA Connections'!P24+'[19]Feb midyear adj_Connections'!S26</f>
        <v>0</v>
      </c>
      <c r="T24" s="854">
        <f t="shared" si="26"/>
        <v>20334</v>
      </c>
      <c r="U24" s="854">
        <f t="shared" si="27"/>
        <v>1695</v>
      </c>
      <c r="V24" s="824">
        <f t="shared" si="28"/>
        <v>77205.014424651163</v>
      </c>
      <c r="W24" s="824">
        <f t="shared" si="29"/>
        <v>6434</v>
      </c>
    </row>
    <row r="25" spans="1:23" s="545" customFormat="1" ht="16.5" customHeight="1">
      <c r="A25" s="101">
        <v>22</v>
      </c>
      <c r="B25" s="797" t="s">
        <v>114</v>
      </c>
      <c r="C25" s="825">
        <f>'2-1-13 SIS'!L28</f>
        <v>5</v>
      </c>
      <c r="D25" s="826">
        <f>'Table 3 Levels 1&amp;2'!AL29*90%</f>
        <v>5582.9640391850471</v>
      </c>
      <c r="E25" s="826">
        <f t="shared" si="16"/>
        <v>27914.820195925236</v>
      </c>
      <c r="F25" s="827">
        <f>'Table 4 Level 3'!P27*90%</f>
        <v>446.72400000000005</v>
      </c>
      <c r="G25" s="827">
        <f t="shared" si="17"/>
        <v>2233.6200000000003</v>
      </c>
      <c r="H25" s="827">
        <f t="shared" si="18"/>
        <v>30148.440195925235</v>
      </c>
      <c r="I25" s="827">
        <f>(('Table 3 Levels 1&amp;2'!AL29-D25)+('Table 4 Level 3'!P27-F25))*C25</f>
        <v>3349.8266884361351</v>
      </c>
      <c r="J25" s="827">
        <f t="shared" si="19"/>
        <v>-75</v>
      </c>
      <c r="K25" s="828">
        <f t="shared" si="20"/>
        <v>30073.440195925235</v>
      </c>
      <c r="L25" s="828">
        <f>'[18]LA Conn Adjustment'!X26+'[16]Oct midyear LA Connections'!K25+'[19]Feb midyear adj_Connections'!M27</f>
        <v>0</v>
      </c>
      <c r="M25" s="829">
        <f t="shared" si="21"/>
        <v>30073.440195925235</v>
      </c>
      <c r="N25" s="829">
        <f t="shared" si="22"/>
        <v>2506</v>
      </c>
      <c r="O25" s="831">
        <f>'Table 5C1A-Madison Prep'!N28*90%</f>
        <v>1294.2</v>
      </c>
      <c r="P25" s="831">
        <f t="shared" si="23"/>
        <v>6471</v>
      </c>
      <c r="Q25" s="831">
        <f t="shared" si="24"/>
        <v>-16</v>
      </c>
      <c r="R25" s="831">
        <f t="shared" si="25"/>
        <v>6455</v>
      </c>
      <c r="S25" s="830">
        <f>'[18]LA Conn Adjustment'!AB26+'[16]Oct midyear LA Connections'!P25+'[19]Feb midyear adj_Connections'!S27</f>
        <v>0</v>
      </c>
      <c r="T25" s="855">
        <f t="shared" si="26"/>
        <v>6455</v>
      </c>
      <c r="U25" s="855">
        <f t="shared" si="27"/>
        <v>538</v>
      </c>
      <c r="V25" s="832">
        <f t="shared" si="28"/>
        <v>36528.440195925235</v>
      </c>
      <c r="W25" s="832">
        <f t="shared" si="29"/>
        <v>3044</v>
      </c>
    </row>
    <row r="26" spans="1:23" s="545" customFormat="1" ht="16.5" customHeight="1">
      <c r="A26" s="101">
        <v>23</v>
      </c>
      <c r="B26" s="797" t="s">
        <v>115</v>
      </c>
      <c r="C26" s="825">
        <f>'2-1-13 SIS'!L29</f>
        <v>18</v>
      </c>
      <c r="D26" s="826">
        <f>'Table 3 Levels 1&amp;2'!AL30*90%</f>
        <v>4361.4722241060917</v>
      </c>
      <c r="E26" s="826">
        <f t="shared" si="16"/>
        <v>78506.500033909659</v>
      </c>
      <c r="F26" s="827">
        <f>'Table 4 Level 3'!P28*90%</f>
        <v>619.72200000000009</v>
      </c>
      <c r="G26" s="827">
        <f t="shared" si="17"/>
        <v>11154.996000000001</v>
      </c>
      <c r="H26" s="827">
        <f t="shared" si="18"/>
        <v>89661.496033909658</v>
      </c>
      <c r="I26" s="827">
        <f>(('Table 3 Levels 1&amp;2'!AL30-D26)+('Table 4 Level 3'!P28-F26))*C26</f>
        <v>9962.3884482121739</v>
      </c>
      <c r="J26" s="827">
        <f t="shared" si="19"/>
        <v>-224</v>
      </c>
      <c r="K26" s="828">
        <f t="shared" si="20"/>
        <v>89437.496033909658</v>
      </c>
      <c r="L26" s="828">
        <f>'[18]LA Conn Adjustment'!X27+'[16]Oct midyear LA Connections'!K26+'[19]Feb midyear adj_Connections'!M28</f>
        <v>0</v>
      </c>
      <c r="M26" s="829">
        <f t="shared" si="21"/>
        <v>89437.496033909658</v>
      </c>
      <c r="N26" s="829">
        <f t="shared" si="22"/>
        <v>7453</v>
      </c>
      <c r="O26" s="831">
        <f>'Table 5C1A-Madison Prep'!N29*90%</f>
        <v>3047.4</v>
      </c>
      <c r="P26" s="831">
        <f t="shared" si="23"/>
        <v>54853.200000000004</v>
      </c>
      <c r="Q26" s="831">
        <f t="shared" si="24"/>
        <v>-137</v>
      </c>
      <c r="R26" s="831">
        <f t="shared" si="25"/>
        <v>54716.200000000004</v>
      </c>
      <c r="S26" s="830">
        <f>'[18]LA Conn Adjustment'!AB27+'[16]Oct midyear LA Connections'!P26+'[19]Feb midyear adj_Connections'!S28</f>
        <v>0</v>
      </c>
      <c r="T26" s="855">
        <f t="shared" si="26"/>
        <v>54716.200000000004</v>
      </c>
      <c r="U26" s="855">
        <f t="shared" si="27"/>
        <v>4560</v>
      </c>
      <c r="V26" s="832">
        <f t="shared" si="28"/>
        <v>144153.69603390965</v>
      </c>
      <c r="W26" s="832">
        <f t="shared" si="29"/>
        <v>12013</v>
      </c>
    </row>
    <row r="27" spans="1:23" s="545" customFormat="1" ht="16.5" customHeight="1">
      <c r="A27" s="101">
        <v>24</v>
      </c>
      <c r="B27" s="797" t="s">
        <v>116</v>
      </c>
      <c r="C27" s="825">
        <f>'2-1-13 SIS'!L30</f>
        <v>1</v>
      </c>
      <c r="D27" s="826">
        <f>'Table 3 Levels 1&amp;2'!AL31*90%</f>
        <v>2487.7095079787237</v>
      </c>
      <c r="E27" s="826">
        <f t="shared" si="16"/>
        <v>2487.7095079787237</v>
      </c>
      <c r="F27" s="827">
        <f>'Table 4 Level 3'!P29*90%</f>
        <v>768.82499999999993</v>
      </c>
      <c r="G27" s="827">
        <f t="shared" si="17"/>
        <v>768.82499999999993</v>
      </c>
      <c r="H27" s="827">
        <f t="shared" si="18"/>
        <v>3256.5345079787235</v>
      </c>
      <c r="I27" s="827">
        <f>(('Table 3 Levels 1&amp;2'!AL31-D27)+('Table 4 Level 3'!P29-F27))*C27</f>
        <v>361.83716755319142</v>
      </c>
      <c r="J27" s="827">
        <f t="shared" si="19"/>
        <v>-8</v>
      </c>
      <c r="K27" s="828">
        <f t="shared" si="20"/>
        <v>3248.5345079787235</v>
      </c>
      <c r="L27" s="828">
        <f>'[18]LA Conn Adjustment'!X28+'[16]Oct midyear LA Connections'!K27+'[19]Feb midyear adj_Connections'!M29</f>
        <v>0</v>
      </c>
      <c r="M27" s="829">
        <f t="shared" si="21"/>
        <v>3248.5345079787235</v>
      </c>
      <c r="N27" s="829">
        <f t="shared" si="22"/>
        <v>271</v>
      </c>
      <c r="O27" s="831">
        <f>'Table 5C1A-Madison Prep'!N30*90%</f>
        <v>8784.9</v>
      </c>
      <c r="P27" s="831">
        <f t="shared" si="23"/>
        <v>8784.9</v>
      </c>
      <c r="Q27" s="831">
        <f t="shared" si="24"/>
        <v>-22</v>
      </c>
      <c r="R27" s="831">
        <f t="shared" si="25"/>
        <v>8762.9</v>
      </c>
      <c r="S27" s="830">
        <f>'[18]LA Conn Adjustment'!AB28+'[16]Oct midyear LA Connections'!P27+'[19]Feb midyear adj_Connections'!S29</f>
        <v>0</v>
      </c>
      <c r="T27" s="855">
        <f t="shared" si="26"/>
        <v>8762.9</v>
      </c>
      <c r="U27" s="855">
        <f t="shared" si="27"/>
        <v>730</v>
      </c>
      <c r="V27" s="832">
        <f t="shared" si="28"/>
        <v>12011.434507978724</v>
      </c>
      <c r="W27" s="832">
        <f t="shared" si="29"/>
        <v>1001</v>
      </c>
    </row>
    <row r="28" spans="1:23" s="545" customFormat="1" ht="16.5" customHeight="1">
      <c r="A28" s="102">
        <v>25</v>
      </c>
      <c r="B28" s="798" t="s">
        <v>117</v>
      </c>
      <c r="C28" s="833">
        <f>'2-1-13 SIS'!L31</f>
        <v>1</v>
      </c>
      <c r="D28" s="834">
        <f>'Table 3 Levels 1&amp;2'!AL32*90%</f>
        <v>3480.7032622847933</v>
      </c>
      <c r="E28" s="834">
        <f t="shared" si="16"/>
        <v>3480.7032622847933</v>
      </c>
      <c r="F28" s="835">
        <f>'Table 4 Level 3'!P30*90%</f>
        <v>588.35700000000008</v>
      </c>
      <c r="G28" s="835">
        <f t="shared" si="17"/>
        <v>588.35700000000008</v>
      </c>
      <c r="H28" s="835">
        <f t="shared" si="18"/>
        <v>4069.0602622847932</v>
      </c>
      <c r="I28" s="835">
        <f>(('Table 3 Levels 1&amp;2'!AL32-D28)+('Table 4 Level 3'!P30-F28))*C28</f>
        <v>452.11780692053242</v>
      </c>
      <c r="J28" s="835">
        <f t="shared" si="19"/>
        <v>-10</v>
      </c>
      <c r="K28" s="836">
        <f t="shared" si="20"/>
        <v>4059.0602622847932</v>
      </c>
      <c r="L28" s="836">
        <f>'[18]LA Conn Adjustment'!X29+'[16]Oct midyear LA Connections'!K28+'[19]Feb midyear adj_Connections'!M30</f>
        <v>0</v>
      </c>
      <c r="M28" s="837">
        <f t="shared" si="21"/>
        <v>4059.0602622847932</v>
      </c>
      <c r="N28" s="837">
        <f t="shared" si="22"/>
        <v>338</v>
      </c>
      <c r="O28" s="839">
        <f>'Table 5C1A-Madison Prep'!N31*90%</f>
        <v>4357.8</v>
      </c>
      <c r="P28" s="839">
        <f t="shared" si="23"/>
        <v>4357.8</v>
      </c>
      <c r="Q28" s="839">
        <f t="shared" si="24"/>
        <v>-11</v>
      </c>
      <c r="R28" s="839">
        <f t="shared" si="25"/>
        <v>4346.8</v>
      </c>
      <c r="S28" s="838">
        <f>'[18]LA Conn Adjustment'!AB29+'[16]Oct midyear LA Connections'!P28+'[19]Feb midyear adj_Connections'!S30</f>
        <v>0</v>
      </c>
      <c r="T28" s="856">
        <f t="shared" si="26"/>
        <v>4346.8</v>
      </c>
      <c r="U28" s="856">
        <f t="shared" si="27"/>
        <v>362</v>
      </c>
      <c r="V28" s="840">
        <f t="shared" si="28"/>
        <v>8405.8602622847939</v>
      </c>
      <c r="W28" s="840">
        <f t="shared" si="29"/>
        <v>700</v>
      </c>
    </row>
    <row r="29" spans="1:23" s="545" customFormat="1" ht="16.5" customHeight="1">
      <c r="A29" s="101">
        <v>26</v>
      </c>
      <c r="B29" s="797" t="s">
        <v>118</v>
      </c>
      <c r="C29" s="817">
        <f>'2-1-13 SIS'!L32</f>
        <v>98</v>
      </c>
      <c r="D29" s="818">
        <f>'Table 3 Levels 1&amp;2'!AL33*90%</f>
        <v>2964.1333741113194</v>
      </c>
      <c r="E29" s="818">
        <f t="shared" si="16"/>
        <v>290485.0706629093</v>
      </c>
      <c r="F29" s="819">
        <f>'Table 4 Level 3'!P31*90%</f>
        <v>753.14700000000005</v>
      </c>
      <c r="G29" s="819">
        <f t="shared" si="17"/>
        <v>73808.406000000003</v>
      </c>
      <c r="H29" s="819">
        <f t="shared" si="18"/>
        <v>364293.47666290932</v>
      </c>
      <c r="I29" s="819">
        <f>(('Table 3 Levels 1&amp;2'!AL33-D29)+('Table 4 Level 3'!P31-F29))*C29</f>
        <v>40477.052962545487</v>
      </c>
      <c r="J29" s="819">
        <f t="shared" si="19"/>
        <v>-911</v>
      </c>
      <c r="K29" s="820">
        <f t="shared" si="20"/>
        <v>363382.47666290932</v>
      </c>
      <c r="L29" s="820">
        <f>'[18]LA Conn Adjustment'!X30+'[16]Oct midyear LA Connections'!K29+'[19]Feb midyear adj_Connections'!M31</f>
        <v>0</v>
      </c>
      <c r="M29" s="821">
        <f t="shared" si="21"/>
        <v>363382.47666290932</v>
      </c>
      <c r="N29" s="821">
        <f t="shared" si="22"/>
        <v>30282</v>
      </c>
      <c r="O29" s="823">
        <f>'Table 5C1A-Madison Prep'!N32*90%</f>
        <v>4770.9000000000005</v>
      </c>
      <c r="P29" s="823">
        <f t="shared" si="23"/>
        <v>467548.20000000007</v>
      </c>
      <c r="Q29" s="823">
        <f t="shared" si="24"/>
        <v>-1169</v>
      </c>
      <c r="R29" s="823">
        <f t="shared" si="25"/>
        <v>466379.20000000007</v>
      </c>
      <c r="S29" s="822">
        <f>'[18]LA Conn Adjustment'!AB30+'[16]Oct midyear LA Connections'!P29+'[19]Feb midyear adj_Connections'!S31</f>
        <v>0</v>
      </c>
      <c r="T29" s="854">
        <f t="shared" si="26"/>
        <v>466379.20000000007</v>
      </c>
      <c r="U29" s="854">
        <f t="shared" si="27"/>
        <v>38865</v>
      </c>
      <c r="V29" s="824">
        <f t="shared" si="28"/>
        <v>829761.67666290933</v>
      </c>
      <c r="W29" s="824">
        <f t="shared" si="29"/>
        <v>69147</v>
      </c>
    </row>
    <row r="30" spans="1:23" s="545" customFormat="1" ht="16.5" customHeight="1">
      <c r="A30" s="101">
        <v>27</v>
      </c>
      <c r="B30" s="797" t="s">
        <v>119</v>
      </c>
      <c r="C30" s="825">
        <f>'2-1-13 SIS'!L33</f>
        <v>7</v>
      </c>
      <c r="D30" s="826">
        <f>'Table 3 Levels 1&amp;2'!AL34*90%</f>
        <v>5112.6954765643777</v>
      </c>
      <c r="E30" s="826">
        <f t="shared" si="16"/>
        <v>35788.868335950647</v>
      </c>
      <c r="F30" s="827">
        <f>'Table 4 Level 3'!P32*90%</f>
        <v>623.75400000000002</v>
      </c>
      <c r="G30" s="827">
        <f t="shared" si="17"/>
        <v>4366.2780000000002</v>
      </c>
      <c r="H30" s="827">
        <f t="shared" si="18"/>
        <v>40155.146335950645</v>
      </c>
      <c r="I30" s="827">
        <f>(('Table 3 Levels 1&amp;2'!AL34-D30)+('Table 4 Level 3'!P32-F30))*C30</f>
        <v>4461.6829262167366</v>
      </c>
      <c r="J30" s="827">
        <f t="shared" si="19"/>
        <v>-100</v>
      </c>
      <c r="K30" s="828">
        <f t="shared" si="20"/>
        <v>40055.146335950645</v>
      </c>
      <c r="L30" s="828">
        <f>'[18]LA Conn Adjustment'!X31+'[16]Oct midyear LA Connections'!K30+'[19]Feb midyear adj_Connections'!M32</f>
        <v>0</v>
      </c>
      <c r="M30" s="829">
        <f t="shared" si="21"/>
        <v>40055.146335950645</v>
      </c>
      <c r="N30" s="829">
        <f t="shared" si="22"/>
        <v>3338</v>
      </c>
      <c r="O30" s="831">
        <f>'Table 5C1A-Madison Prep'!N33*90%</f>
        <v>2926.8</v>
      </c>
      <c r="P30" s="831">
        <f t="shared" si="23"/>
        <v>20487.600000000002</v>
      </c>
      <c r="Q30" s="831">
        <f t="shared" si="24"/>
        <v>-51</v>
      </c>
      <c r="R30" s="831">
        <f t="shared" si="25"/>
        <v>20436.600000000002</v>
      </c>
      <c r="S30" s="830">
        <f>'[18]LA Conn Adjustment'!AB31+'[16]Oct midyear LA Connections'!P30+'[19]Feb midyear adj_Connections'!S32</f>
        <v>0</v>
      </c>
      <c r="T30" s="855">
        <f t="shared" si="26"/>
        <v>20436.600000000002</v>
      </c>
      <c r="U30" s="855">
        <f t="shared" si="27"/>
        <v>1703</v>
      </c>
      <c r="V30" s="832">
        <f t="shared" si="28"/>
        <v>60491.746335950651</v>
      </c>
      <c r="W30" s="832">
        <f t="shared" si="29"/>
        <v>5041</v>
      </c>
    </row>
    <row r="31" spans="1:23" s="545" customFormat="1" ht="16.5" customHeight="1">
      <c r="A31" s="101">
        <v>28</v>
      </c>
      <c r="B31" s="797" t="s">
        <v>120</v>
      </c>
      <c r="C31" s="825">
        <f>'2-1-13 SIS'!L34</f>
        <v>46</v>
      </c>
      <c r="D31" s="826">
        <f>'Table 3 Levels 1&amp;2'!AL35*90%</f>
        <v>2846.8524994634854</v>
      </c>
      <c r="E31" s="826">
        <f t="shared" si="16"/>
        <v>130955.21497532033</v>
      </c>
      <c r="F31" s="827">
        <f>'Table 4 Level 3'!P33*90%</f>
        <v>624.96</v>
      </c>
      <c r="G31" s="827">
        <f t="shared" si="17"/>
        <v>28748.160000000003</v>
      </c>
      <c r="H31" s="827">
        <f t="shared" si="18"/>
        <v>159703.37497532033</v>
      </c>
      <c r="I31" s="827">
        <f>(('Table 3 Levels 1&amp;2'!AL35-D31)+('Table 4 Level 3'!P33-F31))*C31</f>
        <v>17744.819441702246</v>
      </c>
      <c r="J31" s="827">
        <f t="shared" si="19"/>
        <v>-399</v>
      </c>
      <c r="K31" s="828">
        <f t="shared" si="20"/>
        <v>159304.37497532033</v>
      </c>
      <c r="L31" s="828">
        <f>'[18]LA Conn Adjustment'!X32+'[16]Oct midyear LA Connections'!K31+'[19]Feb midyear adj_Connections'!M33</f>
        <v>0</v>
      </c>
      <c r="M31" s="829">
        <f t="shared" si="21"/>
        <v>159304.37497532033</v>
      </c>
      <c r="N31" s="829">
        <f t="shared" si="22"/>
        <v>13275</v>
      </c>
      <c r="O31" s="831">
        <f>'Table 5C1A-Madison Prep'!N34*90%</f>
        <v>4824.9000000000005</v>
      </c>
      <c r="P31" s="831">
        <f t="shared" si="23"/>
        <v>221945.40000000002</v>
      </c>
      <c r="Q31" s="831">
        <f t="shared" si="24"/>
        <v>-555</v>
      </c>
      <c r="R31" s="831">
        <f t="shared" si="25"/>
        <v>221390.40000000002</v>
      </c>
      <c r="S31" s="830">
        <f>'[18]LA Conn Adjustment'!AB32+'[16]Oct midyear LA Connections'!P31+'[19]Feb midyear adj_Connections'!S33</f>
        <v>0</v>
      </c>
      <c r="T31" s="855">
        <f t="shared" si="26"/>
        <v>221390.40000000002</v>
      </c>
      <c r="U31" s="855">
        <f t="shared" si="27"/>
        <v>18449</v>
      </c>
      <c r="V31" s="832">
        <f t="shared" si="28"/>
        <v>380694.77497532032</v>
      </c>
      <c r="W31" s="832">
        <f t="shared" si="29"/>
        <v>31724</v>
      </c>
    </row>
    <row r="32" spans="1:23" s="545" customFormat="1" ht="16.5" customHeight="1">
      <c r="A32" s="101">
        <v>29</v>
      </c>
      <c r="B32" s="797" t="s">
        <v>121</v>
      </c>
      <c r="C32" s="825">
        <f>'2-1-13 SIS'!L35</f>
        <v>8</v>
      </c>
      <c r="D32" s="826">
        <f>'Table 3 Levels 1&amp;2'!AL36*90%</f>
        <v>3557.3027519747384</v>
      </c>
      <c r="E32" s="826">
        <f t="shared" si="16"/>
        <v>28458.422015797907</v>
      </c>
      <c r="F32" s="827">
        <f>'Table 4 Level 3'!P34*90%</f>
        <v>679.45499999999993</v>
      </c>
      <c r="G32" s="827">
        <f t="shared" si="17"/>
        <v>5435.6399999999994</v>
      </c>
      <c r="H32" s="827">
        <f t="shared" si="18"/>
        <v>33894.062015797906</v>
      </c>
      <c r="I32" s="827">
        <f>(('Table 3 Levels 1&amp;2'!AL36-D32)+('Table 4 Level 3'!P34-F32))*C32</f>
        <v>3766.0068906442111</v>
      </c>
      <c r="J32" s="827">
        <f t="shared" si="19"/>
        <v>-85</v>
      </c>
      <c r="K32" s="828">
        <f t="shared" si="20"/>
        <v>33809.062015797906</v>
      </c>
      <c r="L32" s="828">
        <f>'[18]LA Conn Adjustment'!X33+'[16]Oct midyear LA Connections'!K32+'[19]Feb midyear adj_Connections'!M34</f>
        <v>0</v>
      </c>
      <c r="M32" s="829">
        <f t="shared" si="21"/>
        <v>33809.062015797906</v>
      </c>
      <c r="N32" s="829">
        <f t="shared" si="22"/>
        <v>2817</v>
      </c>
      <c r="O32" s="831">
        <f>'Table 5C1A-Madison Prep'!N35*90%</f>
        <v>4286.7</v>
      </c>
      <c r="P32" s="831">
        <f t="shared" si="23"/>
        <v>34293.599999999999</v>
      </c>
      <c r="Q32" s="831">
        <f t="shared" si="24"/>
        <v>-86</v>
      </c>
      <c r="R32" s="831">
        <f t="shared" si="25"/>
        <v>34207.599999999999</v>
      </c>
      <c r="S32" s="830">
        <f>'[18]LA Conn Adjustment'!AB33+'[16]Oct midyear LA Connections'!P32+'[19]Feb midyear adj_Connections'!S34</f>
        <v>0</v>
      </c>
      <c r="T32" s="855">
        <f t="shared" si="26"/>
        <v>34207.599999999999</v>
      </c>
      <c r="U32" s="855">
        <f t="shared" si="27"/>
        <v>2851</v>
      </c>
      <c r="V32" s="832">
        <f t="shared" si="28"/>
        <v>68016.662015797905</v>
      </c>
      <c r="W32" s="832">
        <f t="shared" si="29"/>
        <v>5668</v>
      </c>
    </row>
    <row r="33" spans="1:23" s="545" customFormat="1" ht="16.5" customHeight="1">
      <c r="A33" s="102">
        <v>30</v>
      </c>
      <c r="B33" s="798" t="s">
        <v>122</v>
      </c>
      <c r="C33" s="833">
        <f>'2-1-13 SIS'!L36</f>
        <v>2</v>
      </c>
      <c r="D33" s="834">
        <f>'Table 3 Levels 1&amp;2'!AL37*90%</f>
        <v>5083.7859419267688</v>
      </c>
      <c r="E33" s="834">
        <f t="shared" si="16"/>
        <v>10167.571883853538</v>
      </c>
      <c r="F33" s="835">
        <f>'Table 4 Level 3'!P35*90%</f>
        <v>654.45299999999997</v>
      </c>
      <c r="G33" s="835">
        <f t="shared" si="17"/>
        <v>1308.9059999999999</v>
      </c>
      <c r="H33" s="835">
        <f t="shared" si="18"/>
        <v>11476.477883853539</v>
      </c>
      <c r="I33" s="835">
        <f>(('Table 3 Levels 1&amp;2'!AL37-D33)+('Table 4 Level 3'!P35-F33))*C33</f>
        <v>1275.1642093170601</v>
      </c>
      <c r="J33" s="835">
        <f t="shared" si="19"/>
        <v>-29</v>
      </c>
      <c r="K33" s="836">
        <f t="shared" si="20"/>
        <v>11447.477883853539</v>
      </c>
      <c r="L33" s="836">
        <f>'[18]LA Conn Adjustment'!X34+'[16]Oct midyear LA Connections'!K33+'[19]Feb midyear adj_Connections'!M35</f>
        <v>0</v>
      </c>
      <c r="M33" s="837">
        <f t="shared" si="21"/>
        <v>11447.477883853539</v>
      </c>
      <c r="N33" s="837">
        <f t="shared" si="22"/>
        <v>954</v>
      </c>
      <c r="O33" s="839">
        <f>'Table 5C1A-Madison Prep'!N36*90%</f>
        <v>2912.4</v>
      </c>
      <c r="P33" s="839">
        <f t="shared" si="23"/>
        <v>5824.8</v>
      </c>
      <c r="Q33" s="839">
        <f t="shared" si="24"/>
        <v>-15</v>
      </c>
      <c r="R33" s="839">
        <f t="shared" si="25"/>
        <v>5809.8</v>
      </c>
      <c r="S33" s="838">
        <f>'[18]LA Conn Adjustment'!AB34+'[16]Oct midyear LA Connections'!P33+'[19]Feb midyear adj_Connections'!S35</f>
        <v>0</v>
      </c>
      <c r="T33" s="856">
        <f t="shared" si="26"/>
        <v>5809.8</v>
      </c>
      <c r="U33" s="856">
        <f t="shared" si="27"/>
        <v>484</v>
      </c>
      <c r="V33" s="840">
        <f t="shared" si="28"/>
        <v>17257.277883853538</v>
      </c>
      <c r="W33" s="840">
        <f t="shared" si="29"/>
        <v>1438</v>
      </c>
    </row>
    <row r="34" spans="1:23" s="545" customFormat="1" ht="16.5" customHeight="1">
      <c r="A34" s="101">
        <v>31</v>
      </c>
      <c r="B34" s="797" t="s">
        <v>123</v>
      </c>
      <c r="C34" s="817">
        <f>'2-1-13 SIS'!L37</f>
        <v>4</v>
      </c>
      <c r="D34" s="818">
        <f>'Table 3 Levels 1&amp;2'!AL38*90%</f>
        <v>3914.0377109309675</v>
      </c>
      <c r="E34" s="818">
        <f t="shared" si="16"/>
        <v>15656.15084372387</v>
      </c>
      <c r="F34" s="819">
        <f>'Table 4 Level 3'!P36*90%</f>
        <v>558.74700000000007</v>
      </c>
      <c r="G34" s="819">
        <f t="shared" si="17"/>
        <v>2234.9880000000003</v>
      </c>
      <c r="H34" s="819">
        <f t="shared" si="18"/>
        <v>17891.138843723871</v>
      </c>
      <c r="I34" s="819">
        <f>(('Table 3 Levels 1&amp;2'!AL38-D34)+('Table 4 Level 3'!P36-F34))*C34</f>
        <v>1987.9043159693188</v>
      </c>
      <c r="J34" s="819">
        <f t="shared" si="19"/>
        <v>-45</v>
      </c>
      <c r="K34" s="820">
        <f t="shared" si="20"/>
        <v>17846.138843723871</v>
      </c>
      <c r="L34" s="820">
        <f>'[18]LA Conn Adjustment'!X35+'[16]Oct midyear LA Connections'!K34+'[19]Feb midyear adj_Connections'!M36</f>
        <v>0</v>
      </c>
      <c r="M34" s="821">
        <f t="shared" si="21"/>
        <v>17846.138843723871</v>
      </c>
      <c r="N34" s="821">
        <f t="shared" si="22"/>
        <v>1487</v>
      </c>
      <c r="O34" s="823">
        <f>'Table 5C1A-Madison Prep'!N37*90%</f>
        <v>4315.5</v>
      </c>
      <c r="P34" s="823">
        <f t="shared" si="23"/>
        <v>17262</v>
      </c>
      <c r="Q34" s="823">
        <f t="shared" si="24"/>
        <v>-43</v>
      </c>
      <c r="R34" s="823">
        <f t="shared" si="25"/>
        <v>17219</v>
      </c>
      <c r="S34" s="822">
        <f>'[18]LA Conn Adjustment'!AB35+'[16]Oct midyear LA Connections'!P34+'[19]Feb midyear adj_Connections'!S36</f>
        <v>0</v>
      </c>
      <c r="T34" s="854">
        <f t="shared" si="26"/>
        <v>17219</v>
      </c>
      <c r="U34" s="854">
        <f t="shared" si="27"/>
        <v>1435</v>
      </c>
      <c r="V34" s="824">
        <f t="shared" si="28"/>
        <v>35065.138843723871</v>
      </c>
      <c r="W34" s="824">
        <f t="shared" si="29"/>
        <v>2922</v>
      </c>
    </row>
    <row r="35" spans="1:23" s="545" customFormat="1" ht="16.5" customHeight="1">
      <c r="A35" s="101">
        <v>32</v>
      </c>
      <c r="B35" s="797" t="s">
        <v>124</v>
      </c>
      <c r="C35" s="825">
        <f>'2-1-13 SIS'!L38</f>
        <v>76</v>
      </c>
      <c r="D35" s="826">
        <f>'Table 3 Levels 1&amp;2'!AL39*90%</f>
        <v>4978.3641889911114</v>
      </c>
      <c r="E35" s="826">
        <f t="shared" si="16"/>
        <v>378355.67836332449</v>
      </c>
      <c r="F35" s="827">
        <f>'Table 4 Level 3'!P37*90%</f>
        <v>503.79300000000001</v>
      </c>
      <c r="G35" s="827">
        <f t="shared" si="17"/>
        <v>38288.268000000004</v>
      </c>
      <c r="H35" s="827">
        <f t="shared" si="18"/>
        <v>416643.94636332447</v>
      </c>
      <c r="I35" s="827">
        <f>(('Table 3 Levels 1&amp;2'!AL39-D35)+('Table 4 Level 3'!P37-F35))*C35</f>
        <v>46293.771818147114</v>
      </c>
      <c r="J35" s="827">
        <f t="shared" si="19"/>
        <v>-1042</v>
      </c>
      <c r="K35" s="828">
        <f t="shared" si="20"/>
        <v>415601.94636332447</v>
      </c>
      <c r="L35" s="828">
        <f>'[18]LA Conn Adjustment'!X36+'[16]Oct midyear LA Connections'!K35+'[19]Feb midyear adj_Connections'!M37</f>
        <v>0</v>
      </c>
      <c r="M35" s="829">
        <f t="shared" si="21"/>
        <v>415601.94636332447</v>
      </c>
      <c r="N35" s="829">
        <f t="shared" si="22"/>
        <v>34633</v>
      </c>
      <c r="O35" s="831">
        <f>'Table 5C1A-Madison Prep'!N38*90%</f>
        <v>1898.1000000000001</v>
      </c>
      <c r="P35" s="831">
        <f t="shared" si="23"/>
        <v>144255.6</v>
      </c>
      <c r="Q35" s="831">
        <f t="shared" si="24"/>
        <v>-361</v>
      </c>
      <c r="R35" s="831">
        <f t="shared" si="25"/>
        <v>143894.6</v>
      </c>
      <c r="S35" s="830">
        <f>'[18]LA Conn Adjustment'!AB36+'[16]Oct midyear LA Connections'!P35+'[19]Feb midyear adj_Connections'!S37</f>
        <v>0</v>
      </c>
      <c r="T35" s="855">
        <f t="shared" si="26"/>
        <v>143894.6</v>
      </c>
      <c r="U35" s="855">
        <f t="shared" si="27"/>
        <v>11991</v>
      </c>
      <c r="V35" s="832">
        <f t="shared" si="28"/>
        <v>559496.54636332451</v>
      </c>
      <c r="W35" s="832">
        <f t="shared" si="29"/>
        <v>46624</v>
      </c>
    </row>
    <row r="36" spans="1:23" s="545" customFormat="1" ht="16.5" customHeight="1">
      <c r="A36" s="101">
        <v>33</v>
      </c>
      <c r="B36" s="797" t="s">
        <v>125</v>
      </c>
      <c r="C36" s="825">
        <f>'2-1-13 SIS'!L39</f>
        <v>4</v>
      </c>
      <c r="D36" s="826">
        <f>'Table 3 Levels 1&amp;2'!AL40*90%</f>
        <v>4796.5899803866068</v>
      </c>
      <c r="E36" s="826">
        <f t="shared" si="16"/>
        <v>19186.359921546427</v>
      </c>
      <c r="F36" s="827">
        <f>'Table 4 Level 3'!P38*90%</f>
        <v>589.77900000000011</v>
      </c>
      <c r="G36" s="827">
        <f t="shared" si="17"/>
        <v>2359.1160000000004</v>
      </c>
      <c r="H36" s="827">
        <f t="shared" si="18"/>
        <v>21545.475921546429</v>
      </c>
      <c r="I36" s="827">
        <f>(('Table 3 Levels 1&amp;2'!AL40-D36)+('Table 4 Level 3'!P38-F36))*C36</f>
        <v>2393.9417690607152</v>
      </c>
      <c r="J36" s="827">
        <f t="shared" si="19"/>
        <v>-54</v>
      </c>
      <c r="K36" s="828">
        <f t="shared" si="20"/>
        <v>21491.475921546429</v>
      </c>
      <c r="L36" s="828">
        <f>'[18]LA Conn Adjustment'!X37+'[16]Oct midyear LA Connections'!K36+'[19]Feb midyear adj_Connections'!M38</f>
        <v>0</v>
      </c>
      <c r="M36" s="829">
        <f t="shared" si="21"/>
        <v>21491.475921546429</v>
      </c>
      <c r="N36" s="829">
        <f t="shared" si="22"/>
        <v>1791</v>
      </c>
      <c r="O36" s="831">
        <f>'Table 5C1A-Madison Prep'!N39*90%</f>
        <v>2384.1</v>
      </c>
      <c r="P36" s="831">
        <f t="shared" si="23"/>
        <v>9536.4</v>
      </c>
      <c r="Q36" s="831">
        <f t="shared" si="24"/>
        <v>-24</v>
      </c>
      <c r="R36" s="831">
        <f t="shared" si="25"/>
        <v>9512.4</v>
      </c>
      <c r="S36" s="830">
        <f>'[18]LA Conn Adjustment'!AB37+'[16]Oct midyear LA Connections'!P36+'[19]Feb midyear adj_Connections'!S38</f>
        <v>0</v>
      </c>
      <c r="T36" s="855">
        <f t="shared" si="26"/>
        <v>9512.4</v>
      </c>
      <c r="U36" s="855">
        <f t="shared" si="27"/>
        <v>793</v>
      </c>
      <c r="V36" s="832">
        <f t="shared" si="28"/>
        <v>31003.875921546431</v>
      </c>
      <c r="W36" s="832">
        <f t="shared" si="29"/>
        <v>2584</v>
      </c>
    </row>
    <row r="37" spans="1:23" s="545" customFormat="1" ht="16.5" customHeight="1">
      <c r="A37" s="101">
        <v>34</v>
      </c>
      <c r="B37" s="797" t="s">
        <v>126</v>
      </c>
      <c r="C37" s="825">
        <f>'2-1-13 SIS'!L40</f>
        <v>7</v>
      </c>
      <c r="D37" s="826">
        <f>'Table 3 Levels 1&amp;2'!AL41*90%</f>
        <v>5403.2696388067425</v>
      </c>
      <c r="E37" s="826">
        <f t="shared" si="16"/>
        <v>37822.887471647198</v>
      </c>
      <c r="F37" s="827">
        <f>'Table 4 Level 3'!P39*90%</f>
        <v>579.69900000000018</v>
      </c>
      <c r="G37" s="827">
        <f t="shared" si="17"/>
        <v>4057.8930000000014</v>
      </c>
      <c r="H37" s="827">
        <f t="shared" si="18"/>
        <v>41880.780471647202</v>
      </c>
      <c r="I37" s="827">
        <f>(('Table 3 Levels 1&amp;2'!AL41-D37)+('Table 4 Level 3'!P39-F37))*C37</f>
        <v>4653.4200524052394</v>
      </c>
      <c r="J37" s="827">
        <f t="shared" si="19"/>
        <v>-105</v>
      </c>
      <c r="K37" s="828">
        <f t="shared" si="20"/>
        <v>41775.780471647202</v>
      </c>
      <c r="L37" s="828">
        <f>'[18]LA Conn Adjustment'!X38+'[16]Oct midyear LA Connections'!K37+'[19]Feb midyear adj_Connections'!M39</f>
        <v>0</v>
      </c>
      <c r="M37" s="829">
        <f t="shared" si="21"/>
        <v>41775.780471647202</v>
      </c>
      <c r="N37" s="829">
        <f t="shared" si="22"/>
        <v>3481</v>
      </c>
      <c r="O37" s="831">
        <f>'Table 5C1A-Madison Prep'!N40*90%</f>
        <v>2535.3000000000002</v>
      </c>
      <c r="P37" s="831">
        <f t="shared" si="23"/>
        <v>17747.100000000002</v>
      </c>
      <c r="Q37" s="831">
        <f t="shared" si="24"/>
        <v>-44</v>
      </c>
      <c r="R37" s="831">
        <f t="shared" si="25"/>
        <v>17703.100000000002</v>
      </c>
      <c r="S37" s="830">
        <f>'[18]LA Conn Adjustment'!AB38+'[16]Oct midyear LA Connections'!P37+'[19]Feb midyear adj_Connections'!S39</f>
        <v>0</v>
      </c>
      <c r="T37" s="855">
        <f t="shared" si="26"/>
        <v>17703.100000000002</v>
      </c>
      <c r="U37" s="855">
        <f t="shared" si="27"/>
        <v>1475</v>
      </c>
      <c r="V37" s="832">
        <f t="shared" si="28"/>
        <v>59478.880471647208</v>
      </c>
      <c r="W37" s="832">
        <f t="shared" si="29"/>
        <v>4956</v>
      </c>
    </row>
    <row r="38" spans="1:23" s="545" customFormat="1" ht="16.5" customHeight="1">
      <c r="A38" s="102">
        <v>35</v>
      </c>
      <c r="B38" s="798" t="s">
        <v>127</v>
      </c>
      <c r="C38" s="833">
        <f>'2-1-13 SIS'!L41</f>
        <v>16</v>
      </c>
      <c r="D38" s="834">
        <f>'Table 3 Levels 1&amp;2'!AL42*90%</f>
        <v>4146.4445774600581</v>
      </c>
      <c r="E38" s="834">
        <f t="shared" si="16"/>
        <v>66343.11323936093</v>
      </c>
      <c r="F38" s="835">
        <f>'Table 4 Level 3'!P40*90%</f>
        <v>484.16400000000004</v>
      </c>
      <c r="G38" s="835">
        <f t="shared" si="17"/>
        <v>7746.6240000000007</v>
      </c>
      <c r="H38" s="835">
        <f t="shared" si="18"/>
        <v>74089.737239360926</v>
      </c>
      <c r="I38" s="835">
        <f>(('Table 3 Levels 1&amp;2'!AL42-D38)+('Table 4 Level 3'!P40-F38))*C38</f>
        <v>8232.193026595658</v>
      </c>
      <c r="J38" s="835">
        <f t="shared" si="19"/>
        <v>-185</v>
      </c>
      <c r="K38" s="836">
        <f t="shared" si="20"/>
        <v>73904.737239360926</v>
      </c>
      <c r="L38" s="836">
        <f>'[18]LA Conn Adjustment'!X39+'[16]Oct midyear LA Connections'!K38+'[19]Feb midyear adj_Connections'!M40</f>
        <v>0</v>
      </c>
      <c r="M38" s="837">
        <f t="shared" si="21"/>
        <v>73904.737239360926</v>
      </c>
      <c r="N38" s="837">
        <f t="shared" si="22"/>
        <v>6159</v>
      </c>
      <c r="O38" s="839">
        <f>'Table 5C1A-Madison Prep'!N41*90%</f>
        <v>2968.2000000000003</v>
      </c>
      <c r="P38" s="839">
        <f t="shared" si="23"/>
        <v>47491.200000000004</v>
      </c>
      <c r="Q38" s="839">
        <f t="shared" si="24"/>
        <v>-119</v>
      </c>
      <c r="R38" s="839">
        <f t="shared" si="25"/>
        <v>47372.200000000004</v>
      </c>
      <c r="S38" s="838">
        <f>'[18]LA Conn Adjustment'!AB39+'[16]Oct midyear LA Connections'!P38+'[19]Feb midyear adj_Connections'!S40</f>
        <v>0</v>
      </c>
      <c r="T38" s="856">
        <f t="shared" si="26"/>
        <v>47372.200000000004</v>
      </c>
      <c r="U38" s="856">
        <f t="shared" si="27"/>
        <v>3948</v>
      </c>
      <c r="V38" s="840">
        <f t="shared" si="28"/>
        <v>121276.93723936094</v>
      </c>
      <c r="W38" s="840">
        <f t="shared" si="29"/>
        <v>10107</v>
      </c>
    </row>
    <row r="39" spans="1:23" s="545" customFormat="1" ht="16.5" customHeight="1">
      <c r="A39" s="101">
        <v>36</v>
      </c>
      <c r="B39" s="797" t="s">
        <v>128</v>
      </c>
      <c r="C39" s="817">
        <f>'2-1-13 SIS'!L42</f>
        <v>43</v>
      </c>
      <c r="D39" s="818">
        <f>'Table 3 Levels 1&amp;2'!AL43*90%</f>
        <v>3168.4404903940576</v>
      </c>
      <c r="E39" s="818">
        <f t="shared" si="16"/>
        <v>136242.94108694448</v>
      </c>
      <c r="F39" s="819">
        <f>'Table 5B1_RSD_Orleans'!F78*90%</f>
        <v>671.43020547945218</v>
      </c>
      <c r="G39" s="819">
        <f t="shared" si="17"/>
        <v>28871.498835616443</v>
      </c>
      <c r="H39" s="819">
        <f t="shared" si="18"/>
        <v>165114.43992256094</v>
      </c>
      <c r="I39" s="819">
        <f>(('Table 3 Levels 1&amp;2'!AL43-D39)+('Table 4 Level 3'!P41-F39))*C39</f>
        <v>17537.572159500727</v>
      </c>
      <c r="J39" s="819">
        <f t="shared" si="19"/>
        <v>-413</v>
      </c>
      <c r="K39" s="820">
        <f t="shared" si="20"/>
        <v>164701.43992256094</v>
      </c>
      <c r="L39" s="820">
        <f>'[18]LA Conn Adjustment'!X40+'[16]Oct midyear LA Connections'!K39+'[19]Feb midyear adj_Connections'!M41</f>
        <v>0</v>
      </c>
      <c r="M39" s="821">
        <f t="shared" si="21"/>
        <v>164701.43992256094</v>
      </c>
      <c r="N39" s="821">
        <f t="shared" si="22"/>
        <v>13725</v>
      </c>
      <c r="O39" s="823">
        <f>'Table 5C1A-Madison Prep'!N42*90%</f>
        <v>4897.8</v>
      </c>
      <c r="P39" s="823">
        <f t="shared" si="23"/>
        <v>210605.4</v>
      </c>
      <c r="Q39" s="823">
        <f t="shared" si="24"/>
        <v>-527</v>
      </c>
      <c r="R39" s="823">
        <f t="shared" si="25"/>
        <v>210078.4</v>
      </c>
      <c r="S39" s="822">
        <f>'[18]LA Conn Adjustment'!AB40+'[16]Oct midyear LA Connections'!P39+'[19]Feb midyear adj_Connections'!S41</f>
        <v>0</v>
      </c>
      <c r="T39" s="854">
        <f t="shared" si="26"/>
        <v>210078.4</v>
      </c>
      <c r="U39" s="854">
        <f t="shared" si="27"/>
        <v>17507</v>
      </c>
      <c r="V39" s="824">
        <f t="shared" si="28"/>
        <v>374779.83992256096</v>
      </c>
      <c r="W39" s="824">
        <f t="shared" si="29"/>
        <v>31232</v>
      </c>
    </row>
    <row r="40" spans="1:23" s="545" customFormat="1" ht="16.5" customHeight="1">
      <c r="A40" s="101">
        <v>37</v>
      </c>
      <c r="B40" s="797" t="s">
        <v>129</v>
      </c>
      <c r="C40" s="825">
        <f>'2-1-13 SIS'!L43</f>
        <v>17</v>
      </c>
      <c r="D40" s="826">
        <f>'Table 3 Levels 1&amp;2'!AL44*90%</f>
        <v>4953.383607763697</v>
      </c>
      <c r="E40" s="826">
        <f t="shared" si="16"/>
        <v>84207.521331982847</v>
      </c>
      <c r="F40" s="827">
        <f>'Table 4 Level 3'!P42*90%</f>
        <v>588.24900000000002</v>
      </c>
      <c r="G40" s="827">
        <f t="shared" si="17"/>
        <v>10000.233</v>
      </c>
      <c r="H40" s="827">
        <f t="shared" si="18"/>
        <v>94207.75433198284</v>
      </c>
      <c r="I40" s="827">
        <f>(('Table 3 Levels 1&amp;2'!AL44-D40)+('Table 4 Level 3'!P42-F40))*C40</f>
        <v>10467.5282591092</v>
      </c>
      <c r="J40" s="827">
        <f t="shared" si="19"/>
        <v>-236</v>
      </c>
      <c r="K40" s="828">
        <f t="shared" si="20"/>
        <v>93971.75433198284</v>
      </c>
      <c r="L40" s="828">
        <f>'[18]LA Conn Adjustment'!X41+'[16]Oct midyear LA Connections'!K40+'[19]Feb midyear adj_Connections'!M42</f>
        <v>0</v>
      </c>
      <c r="M40" s="829">
        <f t="shared" si="21"/>
        <v>93971.75433198284</v>
      </c>
      <c r="N40" s="829">
        <f t="shared" si="22"/>
        <v>7831</v>
      </c>
      <c r="O40" s="831">
        <f>'Table 5C1A-Madison Prep'!N43*90%</f>
        <v>2904.3</v>
      </c>
      <c r="P40" s="831">
        <f t="shared" si="23"/>
        <v>49373.100000000006</v>
      </c>
      <c r="Q40" s="831">
        <f t="shared" si="24"/>
        <v>-123</v>
      </c>
      <c r="R40" s="831">
        <f t="shared" si="25"/>
        <v>49250.100000000006</v>
      </c>
      <c r="S40" s="830">
        <f>'[18]LA Conn Adjustment'!AB41+'[16]Oct midyear LA Connections'!P40+'[19]Feb midyear adj_Connections'!S42</f>
        <v>0</v>
      </c>
      <c r="T40" s="855">
        <f t="shared" si="26"/>
        <v>49250.100000000006</v>
      </c>
      <c r="U40" s="855">
        <f t="shared" si="27"/>
        <v>4104</v>
      </c>
      <c r="V40" s="832">
        <f t="shared" si="28"/>
        <v>143221.85433198285</v>
      </c>
      <c r="W40" s="832">
        <f t="shared" si="29"/>
        <v>11935</v>
      </c>
    </row>
    <row r="41" spans="1:23" s="545" customFormat="1" ht="16.5" customHeight="1">
      <c r="A41" s="101">
        <v>38</v>
      </c>
      <c r="B41" s="797" t="s">
        <v>130</v>
      </c>
      <c r="C41" s="825">
        <f>'2-1-13 SIS'!L44</f>
        <v>6</v>
      </c>
      <c r="D41" s="826">
        <f>'Table 3 Levels 1&amp;2'!AL45*90%</f>
        <v>1973.4790748031496</v>
      </c>
      <c r="E41" s="826">
        <f t="shared" si="16"/>
        <v>11840.874448818897</v>
      </c>
      <c r="F41" s="827">
        <f>'Table 4 Level 3'!P43*90%</f>
        <v>746.92800000000011</v>
      </c>
      <c r="G41" s="827">
        <f t="shared" si="17"/>
        <v>4481.5680000000011</v>
      </c>
      <c r="H41" s="827">
        <f t="shared" si="18"/>
        <v>16322.442448818898</v>
      </c>
      <c r="I41" s="827">
        <f>(('Table 3 Levels 1&amp;2'!AL45-D41)+('Table 4 Level 3'!P43-F41))*C41</f>
        <v>1813.6047165354325</v>
      </c>
      <c r="J41" s="827">
        <f t="shared" si="19"/>
        <v>-41</v>
      </c>
      <c r="K41" s="828">
        <f t="shared" si="20"/>
        <v>16281.442448818898</v>
      </c>
      <c r="L41" s="828">
        <f>'[18]LA Conn Adjustment'!X42+'[16]Oct midyear LA Connections'!K41+'[19]Feb midyear adj_Connections'!M43</f>
        <v>0</v>
      </c>
      <c r="M41" s="829">
        <f t="shared" si="21"/>
        <v>16281.442448818898</v>
      </c>
      <c r="N41" s="829">
        <f t="shared" si="22"/>
        <v>1357</v>
      </c>
      <c r="O41" s="831">
        <f>'Table 5C1A-Madison Prep'!N44*90%</f>
        <v>9780.3000000000011</v>
      </c>
      <c r="P41" s="831">
        <f t="shared" si="23"/>
        <v>58681.8</v>
      </c>
      <c r="Q41" s="831">
        <f t="shared" si="24"/>
        <v>-147</v>
      </c>
      <c r="R41" s="831">
        <f t="shared" si="25"/>
        <v>58534.8</v>
      </c>
      <c r="S41" s="830">
        <f>'[18]LA Conn Adjustment'!AB42+'[16]Oct midyear LA Connections'!P41+'[19]Feb midyear adj_Connections'!S43</f>
        <v>0</v>
      </c>
      <c r="T41" s="855">
        <f t="shared" si="26"/>
        <v>58534.8</v>
      </c>
      <c r="U41" s="855">
        <f t="shared" si="27"/>
        <v>4878</v>
      </c>
      <c r="V41" s="832">
        <f t="shared" si="28"/>
        <v>74816.242448818899</v>
      </c>
      <c r="W41" s="832">
        <f t="shared" si="29"/>
        <v>6235</v>
      </c>
    </row>
    <row r="42" spans="1:23" s="545" customFormat="1" ht="16.5" customHeight="1">
      <c r="A42" s="101">
        <v>39</v>
      </c>
      <c r="B42" s="797" t="s">
        <v>131</v>
      </c>
      <c r="C42" s="825">
        <f>'2-1-13 SIS'!L45</f>
        <v>5</v>
      </c>
      <c r="D42" s="826">
        <f>'Table 3 Levels 1&amp;2'!AL46*90%</f>
        <v>3275.9948500256428</v>
      </c>
      <c r="E42" s="826">
        <f t="shared" si="16"/>
        <v>16379.974250128214</v>
      </c>
      <c r="F42" s="827">
        <f>'Table 5B2_RSD_LA'!F21*90%</f>
        <v>701.69015738498797</v>
      </c>
      <c r="G42" s="827">
        <f t="shared" si="17"/>
        <v>3508.4507869249401</v>
      </c>
      <c r="H42" s="827">
        <f t="shared" si="18"/>
        <v>19888.425037053155</v>
      </c>
      <c r="I42" s="827">
        <f>(('Table 3 Levels 1&amp;2'!AL46-D42)+('Table 4 Level 3'!P44-F42))*C42</f>
        <v>2209.8250041170159</v>
      </c>
      <c r="J42" s="827">
        <f t="shared" si="19"/>
        <v>-50</v>
      </c>
      <c r="K42" s="828">
        <f t="shared" si="20"/>
        <v>19838.425037053155</v>
      </c>
      <c r="L42" s="828">
        <f>'[18]LA Conn Adjustment'!X43+'[16]Oct midyear LA Connections'!K42+'[19]Feb midyear adj_Connections'!M44</f>
        <v>0</v>
      </c>
      <c r="M42" s="829">
        <f t="shared" si="21"/>
        <v>19838.425037053155</v>
      </c>
      <c r="N42" s="829">
        <f t="shared" si="22"/>
        <v>1653</v>
      </c>
      <c r="O42" s="831">
        <f>'Table 5C1A-Madison Prep'!N45*90%</f>
        <v>3891.6</v>
      </c>
      <c r="P42" s="831">
        <f t="shared" si="23"/>
        <v>19458</v>
      </c>
      <c r="Q42" s="831">
        <f t="shared" si="24"/>
        <v>-49</v>
      </c>
      <c r="R42" s="831">
        <f t="shared" si="25"/>
        <v>19409</v>
      </c>
      <c r="S42" s="830">
        <f>'[18]LA Conn Adjustment'!AB43+'[16]Oct midyear LA Connections'!P42+'[19]Feb midyear adj_Connections'!S44</f>
        <v>0</v>
      </c>
      <c r="T42" s="855">
        <f t="shared" si="26"/>
        <v>19409</v>
      </c>
      <c r="U42" s="855">
        <f t="shared" si="27"/>
        <v>1617</v>
      </c>
      <c r="V42" s="832">
        <f t="shared" si="28"/>
        <v>39247.425037053152</v>
      </c>
      <c r="W42" s="832">
        <f t="shared" si="29"/>
        <v>3270</v>
      </c>
    </row>
    <row r="43" spans="1:23" s="545" customFormat="1" ht="16.5" customHeight="1">
      <c r="A43" s="102">
        <v>40</v>
      </c>
      <c r="B43" s="798" t="s">
        <v>132</v>
      </c>
      <c r="C43" s="833">
        <f>'2-1-13 SIS'!L46</f>
        <v>27</v>
      </c>
      <c r="D43" s="834">
        <f>'Table 3 Levels 1&amp;2'!AL47*90%</f>
        <v>4435.6477016431081</v>
      </c>
      <c r="E43" s="834">
        <f t="shared" si="16"/>
        <v>119762.48794436392</v>
      </c>
      <c r="F43" s="835">
        <f>'Table 4 Level 3'!P45*90%</f>
        <v>630.24300000000005</v>
      </c>
      <c r="G43" s="835">
        <f t="shared" si="17"/>
        <v>17016.561000000002</v>
      </c>
      <c r="H43" s="835">
        <f t="shared" si="18"/>
        <v>136779.04894436392</v>
      </c>
      <c r="I43" s="835">
        <f>(('Table 3 Levels 1&amp;2'!AL47-D43)+('Table 4 Level 3'!P45-F43))*C43</f>
        <v>15197.672104929328</v>
      </c>
      <c r="J43" s="835">
        <f t="shared" si="19"/>
        <v>-342</v>
      </c>
      <c r="K43" s="836">
        <f t="shared" si="20"/>
        <v>136437.04894436392</v>
      </c>
      <c r="L43" s="836">
        <f>'[18]LA Conn Adjustment'!X44+'[16]Oct midyear LA Connections'!K43+'[19]Feb midyear adj_Connections'!M45</f>
        <v>0</v>
      </c>
      <c r="M43" s="837">
        <f t="shared" si="21"/>
        <v>136437.04894436392</v>
      </c>
      <c r="N43" s="837">
        <f t="shared" si="22"/>
        <v>11370</v>
      </c>
      <c r="O43" s="839">
        <f>'Table 5C1A-Madison Prep'!N46*90%</f>
        <v>2706.3</v>
      </c>
      <c r="P43" s="839">
        <f t="shared" si="23"/>
        <v>73070.100000000006</v>
      </c>
      <c r="Q43" s="839">
        <f t="shared" si="24"/>
        <v>-183</v>
      </c>
      <c r="R43" s="839">
        <f t="shared" si="25"/>
        <v>72887.100000000006</v>
      </c>
      <c r="S43" s="838">
        <f>'[18]LA Conn Adjustment'!AB44+'[16]Oct midyear LA Connections'!P43+'[19]Feb midyear adj_Connections'!S45</f>
        <v>0</v>
      </c>
      <c r="T43" s="856">
        <f t="shared" si="26"/>
        <v>72887.100000000006</v>
      </c>
      <c r="U43" s="856">
        <f t="shared" si="27"/>
        <v>6074</v>
      </c>
      <c r="V43" s="840">
        <f t="shared" si="28"/>
        <v>209324.14894436393</v>
      </c>
      <c r="W43" s="840">
        <f t="shared" si="29"/>
        <v>17444</v>
      </c>
    </row>
    <row r="44" spans="1:23" s="545" customFormat="1" ht="16.5" customHeight="1">
      <c r="A44" s="101">
        <v>41</v>
      </c>
      <c r="B44" s="797" t="s">
        <v>133</v>
      </c>
      <c r="C44" s="817">
        <f>'2-1-13 SIS'!L47</f>
        <v>1</v>
      </c>
      <c r="D44" s="818">
        <f>'Table 3 Levels 1&amp;2'!AL48*90%</f>
        <v>1454.0412119064495</v>
      </c>
      <c r="E44" s="818">
        <f t="shared" si="16"/>
        <v>1454.0412119064495</v>
      </c>
      <c r="F44" s="819">
        <f>'Table 4 Level 3'!P46*90%</f>
        <v>797.59800000000007</v>
      </c>
      <c r="G44" s="819">
        <f t="shared" si="17"/>
        <v>797.59800000000007</v>
      </c>
      <c r="H44" s="819">
        <f t="shared" si="18"/>
        <v>2251.6392119064494</v>
      </c>
      <c r="I44" s="819">
        <f>(('Table 3 Levels 1&amp;2'!AL48-D44)+('Table 4 Level 3'!P46-F44))*C44</f>
        <v>250.18213465627207</v>
      </c>
      <c r="J44" s="819">
        <f t="shared" si="19"/>
        <v>-6</v>
      </c>
      <c r="K44" s="820">
        <f t="shared" si="20"/>
        <v>2245.6392119064494</v>
      </c>
      <c r="L44" s="820">
        <f>'[18]LA Conn Adjustment'!X45+'[16]Oct midyear LA Connections'!K44+'[19]Feb midyear adj_Connections'!M46</f>
        <v>0</v>
      </c>
      <c r="M44" s="821">
        <f t="shared" si="21"/>
        <v>2245.6392119064494</v>
      </c>
      <c r="N44" s="821">
        <f t="shared" si="22"/>
        <v>187</v>
      </c>
      <c r="O44" s="823">
        <f>'Table 5C1A-Madison Prep'!N47*90%</f>
        <v>8178.3</v>
      </c>
      <c r="P44" s="823">
        <f t="shared" si="23"/>
        <v>8178.3</v>
      </c>
      <c r="Q44" s="823">
        <f t="shared" si="24"/>
        <v>-20</v>
      </c>
      <c r="R44" s="823">
        <f t="shared" si="25"/>
        <v>8158.3</v>
      </c>
      <c r="S44" s="822">
        <f>'[18]LA Conn Adjustment'!AB45+'[16]Oct midyear LA Connections'!P44+'[19]Feb midyear adj_Connections'!S46</f>
        <v>0</v>
      </c>
      <c r="T44" s="854">
        <f t="shared" si="26"/>
        <v>8158.3</v>
      </c>
      <c r="U44" s="854">
        <f t="shared" si="27"/>
        <v>680</v>
      </c>
      <c r="V44" s="824">
        <f t="shared" si="28"/>
        <v>10403.939211906451</v>
      </c>
      <c r="W44" s="824">
        <f t="shared" si="29"/>
        <v>867</v>
      </c>
    </row>
    <row r="45" spans="1:23" s="545" customFormat="1" ht="16.5" customHeight="1">
      <c r="A45" s="101">
        <v>42</v>
      </c>
      <c r="B45" s="797" t="s">
        <v>134</v>
      </c>
      <c r="C45" s="825">
        <f>'2-1-13 SIS'!L48</f>
        <v>5</v>
      </c>
      <c r="D45" s="826">
        <f>'Table 3 Levels 1&amp;2'!AL49*90%</f>
        <v>4578.7257414889027</v>
      </c>
      <c r="E45" s="826">
        <f t="shared" si="16"/>
        <v>22893.628707444514</v>
      </c>
      <c r="F45" s="827">
        <f>'Table 4 Level 3'!P47*90%</f>
        <v>480.85199999999998</v>
      </c>
      <c r="G45" s="827">
        <f t="shared" si="17"/>
        <v>2404.2599999999998</v>
      </c>
      <c r="H45" s="827">
        <f t="shared" si="18"/>
        <v>25297.888707444512</v>
      </c>
      <c r="I45" s="827">
        <f>(('Table 3 Levels 1&amp;2'!AL49-D45)+('Table 4 Level 3'!P47-F45))*C45</f>
        <v>2810.8765230493877</v>
      </c>
      <c r="J45" s="827">
        <f t="shared" si="19"/>
        <v>-63</v>
      </c>
      <c r="K45" s="828">
        <f t="shared" si="20"/>
        <v>25234.888707444512</v>
      </c>
      <c r="L45" s="828">
        <f>'[18]LA Conn Adjustment'!X46+'[16]Oct midyear LA Connections'!K45+'[19]Feb midyear adj_Connections'!M47</f>
        <v>0</v>
      </c>
      <c r="M45" s="829">
        <f t="shared" si="21"/>
        <v>25234.888707444512</v>
      </c>
      <c r="N45" s="829">
        <f t="shared" si="22"/>
        <v>2103</v>
      </c>
      <c r="O45" s="831">
        <f>'Table 5C1A-Madison Prep'!N48*90%</f>
        <v>2580.3000000000002</v>
      </c>
      <c r="P45" s="831">
        <f t="shared" si="23"/>
        <v>12901.5</v>
      </c>
      <c r="Q45" s="831">
        <f t="shared" si="24"/>
        <v>-32</v>
      </c>
      <c r="R45" s="831">
        <f t="shared" si="25"/>
        <v>12869.5</v>
      </c>
      <c r="S45" s="830">
        <f>'[18]LA Conn Adjustment'!AB46+'[16]Oct midyear LA Connections'!P45+'[19]Feb midyear adj_Connections'!S47</f>
        <v>0</v>
      </c>
      <c r="T45" s="855">
        <f t="shared" si="26"/>
        <v>12869.5</v>
      </c>
      <c r="U45" s="855">
        <f t="shared" si="27"/>
        <v>1072</v>
      </c>
      <c r="V45" s="832">
        <f t="shared" si="28"/>
        <v>38104.388707444508</v>
      </c>
      <c r="W45" s="832">
        <f t="shared" si="29"/>
        <v>3175</v>
      </c>
    </row>
    <row r="46" spans="1:23" s="545" customFormat="1" ht="16.5" customHeight="1">
      <c r="A46" s="101">
        <v>43</v>
      </c>
      <c r="B46" s="797" t="s">
        <v>135</v>
      </c>
      <c r="C46" s="825">
        <f>'2-1-13 SIS'!L49</f>
        <v>6</v>
      </c>
      <c r="D46" s="826">
        <f>'Table 3 Levels 1&amp;2'!AL50*90%</f>
        <v>4246.0572917452528</v>
      </c>
      <c r="E46" s="826">
        <f t="shared" si="16"/>
        <v>25476.343750471518</v>
      </c>
      <c r="F46" s="827">
        <f>'Table 4 Level 3'!P48*90%</f>
        <v>517.14899999999989</v>
      </c>
      <c r="G46" s="827">
        <f t="shared" si="17"/>
        <v>3102.8939999999993</v>
      </c>
      <c r="H46" s="827">
        <f t="shared" si="18"/>
        <v>28579.237750471519</v>
      </c>
      <c r="I46" s="827">
        <f>(('Table 3 Levels 1&amp;2'!AL50-D46)+('Table 4 Level 3'!P48-F46))*C46</f>
        <v>3175.4708611635019</v>
      </c>
      <c r="J46" s="827">
        <f t="shared" si="19"/>
        <v>-71</v>
      </c>
      <c r="K46" s="828">
        <f t="shared" si="20"/>
        <v>28508.237750471519</v>
      </c>
      <c r="L46" s="828">
        <f>'[18]LA Conn Adjustment'!X47+'[16]Oct midyear LA Connections'!K46+'[19]Feb midyear adj_Connections'!M48</f>
        <v>0</v>
      </c>
      <c r="M46" s="829">
        <f t="shared" si="21"/>
        <v>28508.237750471519</v>
      </c>
      <c r="N46" s="829">
        <f t="shared" si="22"/>
        <v>2376</v>
      </c>
      <c r="O46" s="831">
        <f>'Table 5C1A-Madison Prep'!N49*90%</f>
        <v>3228.3</v>
      </c>
      <c r="P46" s="831">
        <f t="shared" si="23"/>
        <v>19369.800000000003</v>
      </c>
      <c r="Q46" s="831">
        <f t="shared" si="24"/>
        <v>-48</v>
      </c>
      <c r="R46" s="831">
        <f t="shared" si="25"/>
        <v>19321.800000000003</v>
      </c>
      <c r="S46" s="830">
        <f>'[18]LA Conn Adjustment'!AB47+'[16]Oct midyear LA Connections'!P46+'[19]Feb midyear adj_Connections'!S48</f>
        <v>0</v>
      </c>
      <c r="T46" s="855">
        <f t="shared" si="26"/>
        <v>19321.800000000003</v>
      </c>
      <c r="U46" s="855">
        <f t="shared" si="27"/>
        <v>1610</v>
      </c>
      <c r="V46" s="832">
        <f t="shared" si="28"/>
        <v>47830.037750471522</v>
      </c>
      <c r="W46" s="832">
        <f t="shared" si="29"/>
        <v>3986</v>
      </c>
    </row>
    <row r="47" spans="1:23" s="545" customFormat="1" ht="16.5" customHeight="1">
      <c r="A47" s="101">
        <v>44</v>
      </c>
      <c r="B47" s="797" t="s">
        <v>136</v>
      </c>
      <c r="C47" s="825">
        <f>'2-1-13 SIS'!L50</f>
        <v>9</v>
      </c>
      <c r="D47" s="826">
        <f>'Table 3 Levels 1&amp;2'!AL51*90%</f>
        <v>4226.9599105433163</v>
      </c>
      <c r="E47" s="826">
        <f t="shared" si="16"/>
        <v>38042.639194889845</v>
      </c>
      <c r="F47" s="827">
        <f>'Table 4 Level 3'!P49*90%</f>
        <v>596.84400000000005</v>
      </c>
      <c r="G47" s="827">
        <f t="shared" si="17"/>
        <v>5371.5960000000005</v>
      </c>
      <c r="H47" s="827">
        <f t="shared" si="18"/>
        <v>43414.235194889843</v>
      </c>
      <c r="I47" s="827">
        <f>(('Table 3 Levels 1&amp;2'!AL51-D47)+('Table 4 Level 3'!P49-F47))*C47</f>
        <v>4823.8039105433118</v>
      </c>
      <c r="J47" s="827">
        <f t="shared" si="19"/>
        <v>-109</v>
      </c>
      <c r="K47" s="828">
        <f t="shared" si="20"/>
        <v>43305.235194889843</v>
      </c>
      <c r="L47" s="828">
        <f>'[18]LA Conn Adjustment'!X48+'[16]Oct midyear LA Connections'!K47+'[19]Feb midyear adj_Connections'!M49</f>
        <v>0</v>
      </c>
      <c r="M47" s="829">
        <f t="shared" si="21"/>
        <v>43305.235194889843</v>
      </c>
      <c r="N47" s="829">
        <f t="shared" si="22"/>
        <v>3609</v>
      </c>
      <c r="O47" s="831">
        <f>'Table 5C1A-Madison Prep'!N50*90%</f>
        <v>4104.9000000000005</v>
      </c>
      <c r="P47" s="831">
        <f t="shared" si="23"/>
        <v>36944.100000000006</v>
      </c>
      <c r="Q47" s="831">
        <f t="shared" si="24"/>
        <v>-92</v>
      </c>
      <c r="R47" s="831">
        <f t="shared" si="25"/>
        <v>36852.100000000006</v>
      </c>
      <c r="S47" s="830">
        <f>'[18]LA Conn Adjustment'!AB48+'[16]Oct midyear LA Connections'!P47+'[19]Feb midyear adj_Connections'!S49</f>
        <v>0</v>
      </c>
      <c r="T47" s="855">
        <f t="shared" si="26"/>
        <v>36852.100000000006</v>
      </c>
      <c r="U47" s="855">
        <f t="shared" si="27"/>
        <v>3071</v>
      </c>
      <c r="V47" s="832">
        <f t="shared" si="28"/>
        <v>80157.335194889849</v>
      </c>
      <c r="W47" s="832">
        <f t="shared" si="29"/>
        <v>6680</v>
      </c>
    </row>
    <row r="48" spans="1:23" s="545" customFormat="1" ht="16.5" customHeight="1">
      <c r="A48" s="102">
        <v>45</v>
      </c>
      <c r="B48" s="798" t="s">
        <v>137</v>
      </c>
      <c r="C48" s="833">
        <f>'2-1-13 SIS'!L51</f>
        <v>19</v>
      </c>
      <c r="D48" s="834">
        <f>'Table 3 Levels 1&amp;2'!AL52*90%</f>
        <v>1973.2423085039036</v>
      </c>
      <c r="E48" s="834">
        <f t="shared" si="16"/>
        <v>37491.603861574171</v>
      </c>
      <c r="F48" s="835">
        <f>'Table 4 Level 3'!P50*90%</f>
        <v>678.56400000000019</v>
      </c>
      <c r="G48" s="835">
        <f t="shared" si="17"/>
        <v>12892.716000000004</v>
      </c>
      <c r="H48" s="835">
        <f t="shared" si="18"/>
        <v>50384.319861574171</v>
      </c>
      <c r="I48" s="835">
        <f>(('Table 3 Levels 1&amp;2'!AL52-D48)+('Table 4 Level 3'!P50-F48))*C48</f>
        <v>5598.2577623971292</v>
      </c>
      <c r="J48" s="835">
        <f t="shared" si="19"/>
        <v>-126</v>
      </c>
      <c r="K48" s="836">
        <f t="shared" si="20"/>
        <v>50258.319861574171</v>
      </c>
      <c r="L48" s="836">
        <f>'[18]LA Conn Adjustment'!X49+'[16]Oct midyear LA Connections'!K48+'[19]Feb midyear adj_Connections'!M50</f>
        <v>0</v>
      </c>
      <c r="M48" s="837">
        <f t="shared" si="21"/>
        <v>50258.319861574171</v>
      </c>
      <c r="N48" s="837">
        <f t="shared" si="22"/>
        <v>4188</v>
      </c>
      <c r="O48" s="839">
        <f>'Table 5C1A-Madison Prep'!N51*90%</f>
        <v>10158.300000000001</v>
      </c>
      <c r="P48" s="839">
        <f t="shared" si="23"/>
        <v>193007.7</v>
      </c>
      <c r="Q48" s="839">
        <f t="shared" si="24"/>
        <v>-483</v>
      </c>
      <c r="R48" s="839">
        <f t="shared" si="25"/>
        <v>192524.7</v>
      </c>
      <c r="S48" s="838">
        <f>'[18]LA Conn Adjustment'!AB49+'[16]Oct midyear LA Connections'!P48+'[19]Feb midyear adj_Connections'!S50</f>
        <v>0</v>
      </c>
      <c r="T48" s="856">
        <f t="shared" si="26"/>
        <v>192524.7</v>
      </c>
      <c r="U48" s="856">
        <f t="shared" si="27"/>
        <v>16044</v>
      </c>
      <c r="V48" s="840">
        <f t="shared" si="28"/>
        <v>242783.01986157417</v>
      </c>
      <c r="W48" s="840">
        <f t="shared" si="29"/>
        <v>20232</v>
      </c>
    </row>
    <row r="49" spans="1:23" s="545" customFormat="1" ht="16.5" customHeight="1">
      <c r="A49" s="101">
        <v>46</v>
      </c>
      <c r="B49" s="797" t="s">
        <v>138</v>
      </c>
      <c r="C49" s="817">
        <f>'2-1-13 SIS'!L52</f>
        <v>5</v>
      </c>
      <c r="D49" s="818">
        <f>'Table 3 Levels 1&amp;2'!AL53*90%</f>
        <v>5080.1939203717475</v>
      </c>
      <c r="E49" s="818">
        <f t="shared" si="16"/>
        <v>25400.969601858738</v>
      </c>
      <c r="F49" s="819">
        <f>'Table 4 Level 3'!P51*90%</f>
        <v>655.25400000000002</v>
      </c>
      <c r="G49" s="819">
        <f t="shared" si="17"/>
        <v>3276.27</v>
      </c>
      <c r="H49" s="819">
        <f t="shared" si="18"/>
        <v>28677.239601858739</v>
      </c>
      <c r="I49" s="819">
        <f>(('Table 3 Levels 1&amp;2'!AL53-D49)+('Table 4 Level 3'!P51-F49))*C49</f>
        <v>3186.3599557620792</v>
      </c>
      <c r="J49" s="819">
        <f t="shared" si="19"/>
        <v>-72</v>
      </c>
      <c r="K49" s="820">
        <f t="shared" si="20"/>
        <v>28605.239601858739</v>
      </c>
      <c r="L49" s="820">
        <f>'[18]LA Conn Adjustment'!X50+'[16]Oct midyear LA Connections'!K49+'[19]Feb midyear adj_Connections'!M51</f>
        <v>0</v>
      </c>
      <c r="M49" s="821">
        <f t="shared" si="21"/>
        <v>28605.239601858739</v>
      </c>
      <c r="N49" s="821">
        <f t="shared" si="22"/>
        <v>2384</v>
      </c>
      <c r="O49" s="823">
        <f>'Table 5C1A-Madison Prep'!N52*90%</f>
        <v>1935</v>
      </c>
      <c r="P49" s="823">
        <f t="shared" si="23"/>
        <v>9675</v>
      </c>
      <c r="Q49" s="823">
        <f t="shared" si="24"/>
        <v>-24</v>
      </c>
      <c r="R49" s="823">
        <f t="shared" si="25"/>
        <v>9651</v>
      </c>
      <c r="S49" s="822">
        <f>'[18]LA Conn Adjustment'!AB50+'[16]Oct midyear LA Connections'!P49+'[19]Feb midyear adj_Connections'!S51</f>
        <v>0</v>
      </c>
      <c r="T49" s="854">
        <f t="shared" si="26"/>
        <v>9651</v>
      </c>
      <c r="U49" s="854">
        <f t="shared" si="27"/>
        <v>804</v>
      </c>
      <c r="V49" s="824">
        <f t="shared" si="28"/>
        <v>38256.239601858739</v>
      </c>
      <c r="W49" s="824">
        <f t="shared" si="29"/>
        <v>3188</v>
      </c>
    </row>
    <row r="50" spans="1:23" s="545" customFormat="1" ht="16.5" customHeight="1">
      <c r="A50" s="101">
        <v>47</v>
      </c>
      <c r="B50" s="797" t="s">
        <v>139</v>
      </c>
      <c r="C50" s="825">
        <f>'2-1-13 SIS'!L53</f>
        <v>1</v>
      </c>
      <c r="D50" s="826">
        <f>'Table 3 Levels 1&amp;2'!AL54*90%</f>
        <v>2458.1199668599834</v>
      </c>
      <c r="E50" s="826">
        <f t="shared" si="16"/>
        <v>2458.1199668599834</v>
      </c>
      <c r="F50" s="827">
        <f>'Table 4 Level 3'!P52*90%</f>
        <v>819.68399999999997</v>
      </c>
      <c r="G50" s="827">
        <f t="shared" si="17"/>
        <v>819.68399999999997</v>
      </c>
      <c r="H50" s="827">
        <f t="shared" si="18"/>
        <v>3277.8039668599831</v>
      </c>
      <c r="I50" s="827">
        <f>(('Table 3 Levels 1&amp;2'!AL54-D50)+('Table 4 Level 3'!P52-F50))*C50</f>
        <v>364.2004407622203</v>
      </c>
      <c r="J50" s="827">
        <f t="shared" si="19"/>
        <v>-8</v>
      </c>
      <c r="K50" s="828">
        <f t="shared" si="20"/>
        <v>3269.8039668599831</v>
      </c>
      <c r="L50" s="828">
        <f>'[18]LA Conn Adjustment'!X51+'[16]Oct midyear LA Connections'!K50+'[19]Feb midyear adj_Connections'!M52</f>
        <v>0</v>
      </c>
      <c r="M50" s="829">
        <f t="shared" si="21"/>
        <v>3269.8039668599831</v>
      </c>
      <c r="N50" s="829">
        <f t="shared" si="22"/>
        <v>272</v>
      </c>
      <c r="O50" s="831">
        <f>'Table 5C1A-Madison Prep'!N53*90%</f>
        <v>11952</v>
      </c>
      <c r="P50" s="831">
        <f t="shared" si="23"/>
        <v>11952</v>
      </c>
      <c r="Q50" s="831">
        <f t="shared" si="24"/>
        <v>-30</v>
      </c>
      <c r="R50" s="831">
        <f t="shared" si="25"/>
        <v>11922</v>
      </c>
      <c r="S50" s="830">
        <f>'[18]LA Conn Adjustment'!AB51+'[16]Oct midyear LA Connections'!P50+'[19]Feb midyear adj_Connections'!S52</f>
        <v>0</v>
      </c>
      <c r="T50" s="855">
        <f t="shared" si="26"/>
        <v>11922</v>
      </c>
      <c r="U50" s="855">
        <f t="shared" si="27"/>
        <v>994</v>
      </c>
      <c r="V50" s="832">
        <f t="shared" si="28"/>
        <v>15191.803966859983</v>
      </c>
      <c r="W50" s="832">
        <f t="shared" si="29"/>
        <v>1266</v>
      </c>
    </row>
    <row r="51" spans="1:23" s="545" customFormat="1" ht="16.5" customHeight="1">
      <c r="A51" s="101">
        <v>48</v>
      </c>
      <c r="B51" s="797" t="s">
        <v>197</v>
      </c>
      <c r="C51" s="825">
        <f>'2-1-13 SIS'!L54</f>
        <v>18</v>
      </c>
      <c r="D51" s="826">
        <f>'Table 3 Levels 1&amp;2'!AL55*90%</f>
        <v>3845.4509907755478</v>
      </c>
      <c r="E51" s="826">
        <f t="shared" si="16"/>
        <v>69218.117833959855</v>
      </c>
      <c r="F51" s="827">
        <f>'Table 4 Level 3'!P53*90%</f>
        <v>783.96300000000008</v>
      </c>
      <c r="G51" s="827">
        <f t="shared" si="17"/>
        <v>14111.334000000001</v>
      </c>
      <c r="H51" s="827">
        <f t="shared" si="18"/>
        <v>83329.451833959858</v>
      </c>
      <c r="I51" s="827">
        <f>(('Table 3 Levels 1&amp;2'!AL55-D51)+('Table 4 Level 3'!P53-F51))*C51</f>
        <v>9258.8279815510941</v>
      </c>
      <c r="J51" s="827">
        <f t="shared" si="19"/>
        <v>-208</v>
      </c>
      <c r="K51" s="828">
        <f t="shared" si="20"/>
        <v>83121.451833959858</v>
      </c>
      <c r="L51" s="828">
        <f>'[18]LA Conn Adjustment'!X52+'[16]Oct midyear LA Connections'!K51+'[19]Feb midyear adj_Connections'!M53</f>
        <v>0</v>
      </c>
      <c r="M51" s="829">
        <f t="shared" si="21"/>
        <v>83121.451833959858</v>
      </c>
      <c r="N51" s="829">
        <f t="shared" si="22"/>
        <v>6927</v>
      </c>
      <c r="O51" s="831">
        <f>'Table 5C1A-Madison Prep'!N54*90%</f>
        <v>5807.7</v>
      </c>
      <c r="P51" s="831">
        <f t="shared" si="23"/>
        <v>104538.59999999999</v>
      </c>
      <c r="Q51" s="831">
        <f t="shared" si="24"/>
        <v>-261</v>
      </c>
      <c r="R51" s="831">
        <f t="shared" si="25"/>
        <v>104277.59999999999</v>
      </c>
      <c r="S51" s="830">
        <f>'[18]LA Conn Adjustment'!AB52+'[16]Oct midyear LA Connections'!P51+'[19]Feb midyear adj_Connections'!S53</f>
        <v>0</v>
      </c>
      <c r="T51" s="855">
        <f t="shared" si="26"/>
        <v>104277.59999999999</v>
      </c>
      <c r="U51" s="855">
        <f t="shared" si="27"/>
        <v>8690</v>
      </c>
      <c r="V51" s="832">
        <f t="shared" si="28"/>
        <v>187399.05183395985</v>
      </c>
      <c r="W51" s="832">
        <f t="shared" si="29"/>
        <v>15617</v>
      </c>
    </row>
    <row r="52" spans="1:23" s="545" customFormat="1" ht="16.5" customHeight="1">
      <c r="A52" s="101">
        <v>49</v>
      </c>
      <c r="B52" s="797" t="s">
        <v>140</v>
      </c>
      <c r="C52" s="825">
        <f>'2-1-13 SIS'!L55</f>
        <v>32</v>
      </c>
      <c r="D52" s="826">
        <f>'Table 3 Levels 1&amp;2'!AL56*90%</f>
        <v>4353.0383313299299</v>
      </c>
      <c r="E52" s="826">
        <f t="shared" si="16"/>
        <v>139297.22660255776</v>
      </c>
      <c r="F52" s="827">
        <f>'Table 4 Level 3'!P54*90%</f>
        <v>516.99599999999998</v>
      </c>
      <c r="G52" s="827">
        <f t="shared" si="17"/>
        <v>16543.871999999999</v>
      </c>
      <c r="H52" s="827">
        <f t="shared" si="18"/>
        <v>155841.09860255776</v>
      </c>
      <c r="I52" s="827">
        <f>(('Table 3 Levels 1&amp;2'!AL56-D52)+('Table 4 Level 3'!P54-F52))*C52</f>
        <v>17315.67762250641</v>
      </c>
      <c r="J52" s="827">
        <f t="shared" si="19"/>
        <v>-390</v>
      </c>
      <c r="K52" s="828">
        <f t="shared" si="20"/>
        <v>155451.09860255776</v>
      </c>
      <c r="L52" s="828">
        <f>'[18]LA Conn Adjustment'!X53+'[16]Oct midyear LA Connections'!K52+'[19]Feb midyear adj_Connections'!M54</f>
        <v>0</v>
      </c>
      <c r="M52" s="829">
        <f t="shared" si="21"/>
        <v>155451.09860255776</v>
      </c>
      <c r="N52" s="829">
        <f t="shared" si="22"/>
        <v>12954</v>
      </c>
      <c r="O52" s="831">
        <f>'Table 5C1A-Madison Prep'!N55*90%</f>
        <v>2058.3000000000002</v>
      </c>
      <c r="P52" s="831">
        <f t="shared" si="23"/>
        <v>65865.600000000006</v>
      </c>
      <c r="Q52" s="831">
        <f t="shared" si="24"/>
        <v>-165</v>
      </c>
      <c r="R52" s="831">
        <f t="shared" si="25"/>
        <v>65700.600000000006</v>
      </c>
      <c r="S52" s="830">
        <f>'[18]LA Conn Adjustment'!AB53+'[16]Oct midyear LA Connections'!P52+'[19]Feb midyear adj_Connections'!S54</f>
        <v>0</v>
      </c>
      <c r="T52" s="855">
        <f t="shared" si="26"/>
        <v>65700.600000000006</v>
      </c>
      <c r="U52" s="855">
        <f t="shared" si="27"/>
        <v>5475</v>
      </c>
      <c r="V52" s="832">
        <f t="shared" si="28"/>
        <v>221151.69860255776</v>
      </c>
      <c r="W52" s="832">
        <f t="shared" si="29"/>
        <v>18429</v>
      </c>
    </row>
    <row r="53" spans="1:23" s="545" customFormat="1" ht="16.5" customHeight="1">
      <c r="A53" s="102">
        <v>50</v>
      </c>
      <c r="B53" s="798" t="s">
        <v>141</v>
      </c>
      <c r="C53" s="833">
        <f>'2-1-13 SIS'!L56</f>
        <v>11</v>
      </c>
      <c r="D53" s="834">
        <f>'Table 3 Levels 1&amp;2'!AL57*90%</f>
        <v>4529.4176605515404</v>
      </c>
      <c r="E53" s="834">
        <f t="shared" si="16"/>
        <v>49823.594266066946</v>
      </c>
      <c r="F53" s="835">
        <f>'Table 4 Level 3'!P55*90%</f>
        <v>571.01400000000001</v>
      </c>
      <c r="G53" s="835">
        <f t="shared" si="17"/>
        <v>6281.1540000000005</v>
      </c>
      <c r="H53" s="835">
        <f t="shared" si="18"/>
        <v>56104.748266066948</v>
      </c>
      <c r="I53" s="835">
        <f>(('Table 3 Levels 1&amp;2'!AL57-D53)+('Table 4 Level 3'!P55-F53))*C53</f>
        <v>6233.8609184518782</v>
      </c>
      <c r="J53" s="835">
        <f t="shared" si="19"/>
        <v>-140</v>
      </c>
      <c r="K53" s="836">
        <f t="shared" si="20"/>
        <v>55964.748266066948</v>
      </c>
      <c r="L53" s="836">
        <f>'[18]LA Conn Adjustment'!X54+'[16]Oct midyear LA Connections'!K53+'[19]Feb midyear adj_Connections'!M55</f>
        <v>0</v>
      </c>
      <c r="M53" s="837">
        <f t="shared" si="21"/>
        <v>55964.748266066948</v>
      </c>
      <c r="N53" s="837">
        <f t="shared" si="22"/>
        <v>4664</v>
      </c>
      <c r="O53" s="839">
        <f>'Table 5C1A-Madison Prep'!N56*90%</f>
        <v>2520.9</v>
      </c>
      <c r="P53" s="839">
        <f t="shared" si="23"/>
        <v>27729.9</v>
      </c>
      <c r="Q53" s="839">
        <f t="shared" si="24"/>
        <v>-69</v>
      </c>
      <c r="R53" s="839">
        <f t="shared" si="25"/>
        <v>27660.9</v>
      </c>
      <c r="S53" s="838">
        <f>'[18]LA Conn Adjustment'!AB54+'[16]Oct midyear LA Connections'!P53+'[19]Feb midyear adj_Connections'!S55</f>
        <v>0</v>
      </c>
      <c r="T53" s="856">
        <f t="shared" si="26"/>
        <v>27660.9</v>
      </c>
      <c r="U53" s="856">
        <f t="shared" si="27"/>
        <v>2305</v>
      </c>
      <c r="V53" s="840">
        <f t="shared" si="28"/>
        <v>83625.648266066943</v>
      </c>
      <c r="W53" s="840">
        <f t="shared" si="29"/>
        <v>6969</v>
      </c>
    </row>
    <row r="54" spans="1:23" s="545" customFormat="1" ht="16.5" customHeight="1">
      <c r="A54" s="101">
        <v>51</v>
      </c>
      <c r="B54" s="797" t="s">
        <v>142</v>
      </c>
      <c r="C54" s="817">
        <f>'2-1-13 SIS'!L57</f>
        <v>1</v>
      </c>
      <c r="D54" s="818">
        <f>'Table 3 Levels 1&amp;2'!AL58*90%</f>
        <v>3821.4305885514241</v>
      </c>
      <c r="E54" s="818">
        <f t="shared" si="16"/>
        <v>3821.4305885514241</v>
      </c>
      <c r="F54" s="819">
        <f>'Table 4 Level 3'!P56*90%</f>
        <v>635.99400000000003</v>
      </c>
      <c r="G54" s="819">
        <f t="shared" si="17"/>
        <v>635.99400000000003</v>
      </c>
      <c r="H54" s="819">
        <f t="shared" si="18"/>
        <v>4457.4245885514238</v>
      </c>
      <c r="I54" s="819">
        <f>(('Table 3 Levels 1&amp;2'!AL58-D54)+('Table 4 Level 3'!P56-F54))*C54</f>
        <v>495.26939872793605</v>
      </c>
      <c r="J54" s="819">
        <f t="shared" si="19"/>
        <v>-11</v>
      </c>
      <c r="K54" s="820">
        <f t="shared" si="20"/>
        <v>4446.4245885514238</v>
      </c>
      <c r="L54" s="820">
        <f>'[18]LA Conn Adjustment'!X55+'[16]Oct midyear LA Connections'!K54+'[19]Feb midyear adj_Connections'!M56</f>
        <v>0</v>
      </c>
      <c r="M54" s="821">
        <f t="shared" si="21"/>
        <v>4446.4245885514238</v>
      </c>
      <c r="N54" s="821">
        <f t="shared" si="22"/>
        <v>371</v>
      </c>
      <c r="O54" s="823">
        <f>'Table 5C1A-Madison Prep'!N57*90%</f>
        <v>3793.5</v>
      </c>
      <c r="P54" s="823">
        <f t="shared" si="23"/>
        <v>3793.5</v>
      </c>
      <c r="Q54" s="823">
        <f t="shared" si="24"/>
        <v>-9</v>
      </c>
      <c r="R54" s="823">
        <f t="shared" si="25"/>
        <v>3784.5</v>
      </c>
      <c r="S54" s="822">
        <f>'[18]LA Conn Adjustment'!AB55+'[16]Oct midyear LA Connections'!P54+'[19]Feb midyear adj_Connections'!S56</f>
        <v>0</v>
      </c>
      <c r="T54" s="854">
        <f t="shared" si="26"/>
        <v>3784.5</v>
      </c>
      <c r="U54" s="854">
        <f t="shared" si="27"/>
        <v>315</v>
      </c>
      <c r="V54" s="824">
        <f t="shared" si="28"/>
        <v>8230.9245885514247</v>
      </c>
      <c r="W54" s="824">
        <f t="shared" si="29"/>
        <v>686</v>
      </c>
    </row>
    <row r="55" spans="1:23" s="545" customFormat="1" ht="16.5" customHeight="1">
      <c r="A55" s="101">
        <v>52</v>
      </c>
      <c r="B55" s="797" t="s">
        <v>143</v>
      </c>
      <c r="C55" s="825">
        <f>'2-1-13 SIS'!L58</f>
        <v>107</v>
      </c>
      <c r="D55" s="826">
        <f>'Table 3 Levels 1&amp;2'!AL59*90%</f>
        <v>4512.0994245101929</v>
      </c>
      <c r="E55" s="826">
        <f t="shared" si="16"/>
        <v>482794.63842259062</v>
      </c>
      <c r="F55" s="827">
        <f>'Table 4 Level 3'!P57*90%</f>
        <v>592.53300000000002</v>
      </c>
      <c r="G55" s="827">
        <f t="shared" si="17"/>
        <v>63401.031000000003</v>
      </c>
      <c r="H55" s="827">
        <f t="shared" si="18"/>
        <v>546195.66942259064</v>
      </c>
      <c r="I55" s="827">
        <f>(('Table 3 Levels 1&amp;2'!AL59-D55)+('Table 4 Level 3'!P57-F55))*C55</f>
        <v>60688.407713621127</v>
      </c>
      <c r="J55" s="827">
        <f t="shared" si="19"/>
        <v>-1365</v>
      </c>
      <c r="K55" s="828">
        <f t="shared" si="20"/>
        <v>544830.66942259064</v>
      </c>
      <c r="L55" s="828">
        <f>'[18]LA Conn Adjustment'!X56+'[16]Oct midyear LA Connections'!K55+'[19]Feb midyear adj_Connections'!M57</f>
        <v>0</v>
      </c>
      <c r="M55" s="829">
        <f t="shared" si="21"/>
        <v>544830.66942259064</v>
      </c>
      <c r="N55" s="829">
        <f t="shared" si="22"/>
        <v>45403</v>
      </c>
      <c r="O55" s="831">
        <f>'Table 5C1A-Madison Prep'!N58*90%</f>
        <v>4400.1000000000004</v>
      </c>
      <c r="P55" s="831">
        <f t="shared" si="23"/>
        <v>470810.7</v>
      </c>
      <c r="Q55" s="831">
        <f t="shared" si="24"/>
        <v>-1177</v>
      </c>
      <c r="R55" s="831">
        <f t="shared" si="25"/>
        <v>469633.7</v>
      </c>
      <c r="S55" s="830">
        <f>'[18]LA Conn Adjustment'!AB56+'[16]Oct midyear LA Connections'!P55+'[19]Feb midyear adj_Connections'!S57</f>
        <v>0</v>
      </c>
      <c r="T55" s="855">
        <f t="shared" si="26"/>
        <v>469633.7</v>
      </c>
      <c r="U55" s="855">
        <f t="shared" si="27"/>
        <v>39136</v>
      </c>
      <c r="V55" s="832">
        <f t="shared" si="28"/>
        <v>1014464.3694225906</v>
      </c>
      <c r="W55" s="832">
        <f t="shared" si="29"/>
        <v>84539</v>
      </c>
    </row>
    <row r="56" spans="1:23" s="545" customFormat="1" ht="16.5" customHeight="1">
      <c r="A56" s="101">
        <v>53</v>
      </c>
      <c r="B56" s="797" t="s">
        <v>144</v>
      </c>
      <c r="C56" s="825">
        <f>'2-1-13 SIS'!L59</f>
        <v>55</v>
      </c>
      <c r="D56" s="826">
        <f>'Table 3 Levels 1&amp;2'!AL60*90%</f>
        <v>4298.0289872022986</v>
      </c>
      <c r="E56" s="826">
        <f t="shared" si="16"/>
        <v>236391.59429612642</v>
      </c>
      <c r="F56" s="827">
        <f>'Table 4 Level 3'!P58*90%</f>
        <v>620.76600000000008</v>
      </c>
      <c r="G56" s="827">
        <f t="shared" si="17"/>
        <v>34142.130000000005</v>
      </c>
      <c r="H56" s="827">
        <f t="shared" si="18"/>
        <v>270533.7242961264</v>
      </c>
      <c r="I56" s="827">
        <f>(('Table 3 Levels 1&amp;2'!AL60-D56)+('Table 4 Level 3'!P58-F56))*C56</f>
        <v>30059.302699569576</v>
      </c>
      <c r="J56" s="827">
        <f t="shared" si="19"/>
        <v>-676</v>
      </c>
      <c r="K56" s="828">
        <f t="shared" si="20"/>
        <v>269857.7242961264</v>
      </c>
      <c r="L56" s="828">
        <f>'[18]LA Conn Adjustment'!X57+'[16]Oct midyear LA Connections'!K56+'[19]Feb midyear adj_Connections'!M58</f>
        <v>0</v>
      </c>
      <c r="M56" s="829">
        <f t="shared" si="21"/>
        <v>269857.7242961264</v>
      </c>
      <c r="N56" s="829">
        <f t="shared" si="22"/>
        <v>22488</v>
      </c>
      <c r="O56" s="831">
        <f>'Table 5C1A-Madison Prep'!N59*90%</f>
        <v>1907.1000000000001</v>
      </c>
      <c r="P56" s="831">
        <f t="shared" si="23"/>
        <v>104890.50000000001</v>
      </c>
      <c r="Q56" s="831">
        <f t="shared" si="24"/>
        <v>-262</v>
      </c>
      <c r="R56" s="831">
        <f t="shared" si="25"/>
        <v>104628.50000000001</v>
      </c>
      <c r="S56" s="830">
        <f>'[18]LA Conn Adjustment'!AB57+'[16]Oct midyear LA Connections'!P56+'[19]Feb midyear adj_Connections'!S58</f>
        <v>0</v>
      </c>
      <c r="T56" s="855">
        <f t="shared" si="26"/>
        <v>104628.50000000001</v>
      </c>
      <c r="U56" s="855">
        <f t="shared" si="27"/>
        <v>8719</v>
      </c>
      <c r="V56" s="832">
        <f t="shared" si="28"/>
        <v>374486.2242961264</v>
      </c>
      <c r="W56" s="832">
        <f t="shared" si="29"/>
        <v>31207</v>
      </c>
    </row>
    <row r="57" spans="1:23" s="545" customFormat="1" ht="16.5" customHeight="1">
      <c r="A57" s="101">
        <v>54</v>
      </c>
      <c r="B57" s="797" t="s">
        <v>145</v>
      </c>
      <c r="C57" s="825">
        <f>'2-1-13 SIS'!L60</f>
        <v>5</v>
      </c>
      <c r="D57" s="826">
        <f>'Table 3 Levels 1&amp;2'!AL61*90%</f>
        <v>5356.6208447648096</v>
      </c>
      <c r="E57" s="826">
        <f t="shared" si="16"/>
        <v>26783.104223824048</v>
      </c>
      <c r="F57" s="827">
        <f>'Table 4 Level 3'!P59*90%</f>
        <v>856.30500000000006</v>
      </c>
      <c r="G57" s="827">
        <f t="shared" si="17"/>
        <v>4281.5250000000005</v>
      </c>
      <c r="H57" s="827">
        <f t="shared" si="18"/>
        <v>31064.629223824049</v>
      </c>
      <c r="I57" s="827">
        <f>(('Table 3 Levels 1&amp;2'!AL61-D57)+('Table 4 Level 3'!P59-F57))*C57</f>
        <v>3451.625469313783</v>
      </c>
      <c r="J57" s="827">
        <f t="shared" si="19"/>
        <v>-78</v>
      </c>
      <c r="K57" s="828">
        <f t="shared" si="20"/>
        <v>30986.629223824049</v>
      </c>
      <c r="L57" s="828">
        <f>'[18]LA Conn Adjustment'!X58+'[16]Oct midyear LA Connections'!K57+'[19]Feb midyear adj_Connections'!M59</f>
        <v>0</v>
      </c>
      <c r="M57" s="829">
        <f t="shared" si="21"/>
        <v>30986.629223824049</v>
      </c>
      <c r="N57" s="829">
        <f t="shared" si="22"/>
        <v>2582</v>
      </c>
      <c r="O57" s="831">
        <f>'Table 5C1A-Madison Prep'!N60*90%</f>
        <v>3321</v>
      </c>
      <c r="P57" s="831">
        <f t="shared" si="23"/>
        <v>16605</v>
      </c>
      <c r="Q57" s="831">
        <f t="shared" si="24"/>
        <v>-42</v>
      </c>
      <c r="R57" s="831">
        <f t="shared" si="25"/>
        <v>16563</v>
      </c>
      <c r="S57" s="830">
        <f>'[18]LA Conn Adjustment'!AB58+'[16]Oct midyear LA Connections'!P57+'[19]Feb midyear adj_Connections'!S59</f>
        <v>0</v>
      </c>
      <c r="T57" s="855">
        <f t="shared" si="26"/>
        <v>16563</v>
      </c>
      <c r="U57" s="855">
        <f t="shared" si="27"/>
        <v>1380</v>
      </c>
      <c r="V57" s="832">
        <f t="shared" si="28"/>
        <v>47549.629223824049</v>
      </c>
      <c r="W57" s="832">
        <f t="shared" si="29"/>
        <v>3962</v>
      </c>
    </row>
    <row r="58" spans="1:23" s="545" customFormat="1" ht="16.5" customHeight="1">
      <c r="A58" s="102">
        <v>55</v>
      </c>
      <c r="B58" s="798" t="s">
        <v>146</v>
      </c>
      <c r="C58" s="833">
        <f>'2-1-13 SIS'!L61</f>
        <v>39</v>
      </c>
      <c r="D58" s="834">
        <f>'Table 3 Levels 1&amp;2'!AL62*90%</f>
        <v>3753.9391261709843</v>
      </c>
      <c r="E58" s="834">
        <f t="shared" si="16"/>
        <v>146403.62592066839</v>
      </c>
      <c r="F58" s="835">
        <f>'Table 4 Level 3'!P60*90%</f>
        <v>715.62599999999998</v>
      </c>
      <c r="G58" s="835">
        <f t="shared" si="17"/>
        <v>27909.414000000001</v>
      </c>
      <c r="H58" s="835">
        <f t="shared" si="18"/>
        <v>174313.03992066838</v>
      </c>
      <c r="I58" s="835">
        <f>(('Table 3 Levels 1&amp;2'!AL62-D58)+('Table 4 Level 3'!P60-F58))*C58</f>
        <v>19368.115546740926</v>
      </c>
      <c r="J58" s="835">
        <f t="shared" si="19"/>
        <v>-436</v>
      </c>
      <c r="K58" s="836">
        <f t="shared" si="20"/>
        <v>173877.03992066838</v>
      </c>
      <c r="L58" s="836">
        <f>'[18]LA Conn Adjustment'!X59+'[16]Oct midyear LA Connections'!K58+'[19]Feb midyear adj_Connections'!M60</f>
        <v>0</v>
      </c>
      <c r="M58" s="837">
        <f t="shared" si="21"/>
        <v>173877.03992066838</v>
      </c>
      <c r="N58" s="837">
        <f t="shared" si="22"/>
        <v>14490</v>
      </c>
      <c r="O58" s="839">
        <f>'Table 5C1A-Madison Prep'!N61*90%</f>
        <v>2841.3</v>
      </c>
      <c r="P58" s="839">
        <f t="shared" si="23"/>
        <v>110810.70000000001</v>
      </c>
      <c r="Q58" s="839">
        <f t="shared" si="24"/>
        <v>-277</v>
      </c>
      <c r="R58" s="839">
        <f t="shared" si="25"/>
        <v>110533.70000000001</v>
      </c>
      <c r="S58" s="838">
        <f>'[18]LA Conn Adjustment'!AB59+'[16]Oct midyear LA Connections'!P58+'[19]Feb midyear adj_Connections'!S60</f>
        <v>0</v>
      </c>
      <c r="T58" s="856">
        <f t="shared" si="26"/>
        <v>110533.70000000001</v>
      </c>
      <c r="U58" s="856">
        <f t="shared" si="27"/>
        <v>9211</v>
      </c>
      <c r="V58" s="840">
        <f t="shared" si="28"/>
        <v>284410.73992066842</v>
      </c>
      <c r="W58" s="840">
        <f t="shared" si="29"/>
        <v>23701</v>
      </c>
    </row>
    <row r="59" spans="1:23" s="545" customFormat="1" ht="16.5" customHeight="1">
      <c r="A59" s="101">
        <v>56</v>
      </c>
      <c r="B59" s="797" t="s">
        <v>147</v>
      </c>
      <c r="C59" s="817">
        <f>'2-1-13 SIS'!L62</f>
        <v>5</v>
      </c>
      <c r="D59" s="818">
        <f>'Table 3 Levels 1&amp;2'!AL63*90%</f>
        <v>4471.7338707054541</v>
      </c>
      <c r="E59" s="818">
        <f t="shared" si="16"/>
        <v>22358.669353527272</v>
      </c>
      <c r="F59" s="819">
        <f>'Table 4 Level 3'!P61*90%</f>
        <v>553.19400000000007</v>
      </c>
      <c r="G59" s="819">
        <f t="shared" si="17"/>
        <v>2765.9700000000003</v>
      </c>
      <c r="H59" s="819">
        <f t="shared" si="18"/>
        <v>25124.639353527273</v>
      </c>
      <c r="I59" s="819">
        <f>(('Table 3 Levels 1&amp;2'!AL63-D59)+('Table 4 Level 3'!P61-F59))*C59</f>
        <v>2791.6265948363643</v>
      </c>
      <c r="J59" s="819">
        <f t="shared" si="19"/>
        <v>-63</v>
      </c>
      <c r="K59" s="820">
        <f t="shared" si="20"/>
        <v>25061.639353527273</v>
      </c>
      <c r="L59" s="820">
        <f>'[18]LA Conn Adjustment'!X60+'[16]Oct midyear LA Connections'!K59+'[19]Feb midyear adj_Connections'!M61</f>
        <v>0</v>
      </c>
      <c r="M59" s="821">
        <f t="shared" si="21"/>
        <v>25061.639353527273</v>
      </c>
      <c r="N59" s="821">
        <f t="shared" si="22"/>
        <v>2088</v>
      </c>
      <c r="O59" s="823">
        <f>'Table 5C1A-Madison Prep'!N62*90%</f>
        <v>2501.1</v>
      </c>
      <c r="P59" s="823">
        <f t="shared" si="23"/>
        <v>12505.5</v>
      </c>
      <c r="Q59" s="823">
        <f t="shared" si="24"/>
        <v>-31</v>
      </c>
      <c r="R59" s="823">
        <f t="shared" si="25"/>
        <v>12474.5</v>
      </c>
      <c r="S59" s="822">
        <f>'[18]LA Conn Adjustment'!AB60+'[16]Oct midyear LA Connections'!P59+'[19]Feb midyear adj_Connections'!S61</f>
        <v>0</v>
      </c>
      <c r="T59" s="854">
        <f t="shared" si="26"/>
        <v>12474.5</v>
      </c>
      <c r="U59" s="854">
        <f t="shared" si="27"/>
        <v>1040</v>
      </c>
      <c r="V59" s="824">
        <f t="shared" si="28"/>
        <v>37536.139353527273</v>
      </c>
      <c r="W59" s="824">
        <f t="shared" si="29"/>
        <v>3128</v>
      </c>
    </row>
    <row r="60" spans="1:23" s="545" customFormat="1" ht="16.5" customHeight="1">
      <c r="A60" s="101">
        <v>57</v>
      </c>
      <c r="B60" s="797" t="s">
        <v>148</v>
      </c>
      <c r="C60" s="825">
        <f>'2-1-13 SIS'!L63</f>
        <v>6</v>
      </c>
      <c r="D60" s="826">
        <f>'Table 3 Levels 1&amp;2'!AL64*90%</f>
        <v>4037.1365718196976</v>
      </c>
      <c r="E60" s="826">
        <f t="shared" si="16"/>
        <v>24222.819430918185</v>
      </c>
      <c r="F60" s="827">
        <f>'Table 4 Level 3'!P62*90%</f>
        <v>688.05899999999997</v>
      </c>
      <c r="G60" s="827">
        <f t="shared" si="17"/>
        <v>4128.3539999999994</v>
      </c>
      <c r="H60" s="827">
        <f t="shared" si="18"/>
        <v>28351.173430918185</v>
      </c>
      <c r="I60" s="827">
        <f>(('Table 3 Levels 1&amp;2'!AL64-D60)+('Table 4 Level 3'!P62-F60))*C60</f>
        <v>3150.13038121313</v>
      </c>
      <c r="J60" s="827">
        <f t="shared" si="19"/>
        <v>-71</v>
      </c>
      <c r="K60" s="828">
        <f t="shared" si="20"/>
        <v>28280.173430918185</v>
      </c>
      <c r="L60" s="828">
        <f>'[18]LA Conn Adjustment'!X61+'[16]Oct midyear LA Connections'!K60+'[19]Feb midyear adj_Connections'!M62</f>
        <v>0</v>
      </c>
      <c r="M60" s="829">
        <f t="shared" si="21"/>
        <v>28280.173430918185</v>
      </c>
      <c r="N60" s="829">
        <f t="shared" si="22"/>
        <v>2357</v>
      </c>
      <c r="O60" s="831">
        <f>'Table 5C1A-Madison Prep'!N63*90%</f>
        <v>2796.3</v>
      </c>
      <c r="P60" s="831">
        <f t="shared" si="23"/>
        <v>16777.800000000003</v>
      </c>
      <c r="Q60" s="831">
        <f t="shared" si="24"/>
        <v>-42</v>
      </c>
      <c r="R60" s="831">
        <f t="shared" si="25"/>
        <v>16735.800000000003</v>
      </c>
      <c r="S60" s="830">
        <f>'[18]LA Conn Adjustment'!AB61+'[16]Oct midyear LA Connections'!P60+'[19]Feb midyear adj_Connections'!S62</f>
        <v>0</v>
      </c>
      <c r="T60" s="855">
        <f t="shared" si="26"/>
        <v>16735.800000000003</v>
      </c>
      <c r="U60" s="855">
        <f t="shared" si="27"/>
        <v>1395</v>
      </c>
      <c r="V60" s="832">
        <f t="shared" si="28"/>
        <v>45015.973430918188</v>
      </c>
      <c r="W60" s="832">
        <f t="shared" si="29"/>
        <v>3752</v>
      </c>
    </row>
    <row r="61" spans="1:23" s="545" customFormat="1" ht="16.5" customHeight="1">
      <c r="A61" s="101">
        <v>58</v>
      </c>
      <c r="B61" s="797" t="s">
        <v>149</v>
      </c>
      <c r="C61" s="825">
        <f>'2-1-13 SIS'!L64</f>
        <v>28</v>
      </c>
      <c r="D61" s="826">
        <f>'Table 3 Levels 1&amp;2'!AL65*90%</f>
        <v>4912.079652312872</v>
      </c>
      <c r="E61" s="826">
        <f t="shared" si="16"/>
        <v>137538.23026476041</v>
      </c>
      <c r="F61" s="827">
        <f>'Table 4 Level 3'!P63*90%</f>
        <v>627.33600000000001</v>
      </c>
      <c r="G61" s="827">
        <f t="shared" si="17"/>
        <v>17565.407999999999</v>
      </c>
      <c r="H61" s="827">
        <f t="shared" si="18"/>
        <v>155103.6382647604</v>
      </c>
      <c r="I61" s="827">
        <f>(('Table 3 Levels 1&amp;2'!AL65-D61)+('Table 4 Level 3'!P63-F61))*C61</f>
        <v>17233.737584973376</v>
      </c>
      <c r="J61" s="827">
        <f t="shared" si="19"/>
        <v>-388</v>
      </c>
      <c r="K61" s="828">
        <f t="shared" si="20"/>
        <v>154715.6382647604</v>
      </c>
      <c r="L61" s="828">
        <f>'[18]LA Conn Adjustment'!X62+'[16]Oct midyear LA Connections'!K61+'[19]Feb midyear adj_Connections'!M63</f>
        <v>0</v>
      </c>
      <c r="M61" s="829">
        <f t="shared" si="21"/>
        <v>154715.6382647604</v>
      </c>
      <c r="N61" s="829">
        <f t="shared" si="22"/>
        <v>12893</v>
      </c>
      <c r="O61" s="831">
        <f>'Table 5C1A-Madison Prep'!N64*90%</f>
        <v>1894.5</v>
      </c>
      <c r="P61" s="831">
        <f t="shared" si="23"/>
        <v>53046</v>
      </c>
      <c r="Q61" s="831">
        <f t="shared" si="24"/>
        <v>-133</v>
      </c>
      <c r="R61" s="831">
        <f t="shared" si="25"/>
        <v>52913</v>
      </c>
      <c r="S61" s="830">
        <f>'[18]LA Conn Adjustment'!AB62+'[16]Oct midyear LA Connections'!P61+'[19]Feb midyear adj_Connections'!S63</f>
        <v>0</v>
      </c>
      <c r="T61" s="855">
        <f t="shared" si="26"/>
        <v>52913</v>
      </c>
      <c r="U61" s="855">
        <f t="shared" si="27"/>
        <v>4409</v>
      </c>
      <c r="V61" s="832">
        <f t="shared" si="28"/>
        <v>207628.6382647604</v>
      </c>
      <c r="W61" s="832">
        <f t="shared" si="29"/>
        <v>17302</v>
      </c>
    </row>
    <row r="62" spans="1:23" s="545" customFormat="1" ht="16.5" customHeight="1">
      <c r="A62" s="101">
        <v>59</v>
      </c>
      <c r="B62" s="797" t="s">
        <v>150</v>
      </c>
      <c r="C62" s="825">
        <f>'2-1-13 SIS'!L65</f>
        <v>14</v>
      </c>
      <c r="D62" s="826">
        <f>'Table 3 Levels 1&amp;2'!AL66*90%</f>
        <v>5646.8507704205831</v>
      </c>
      <c r="E62" s="826">
        <f t="shared" si="16"/>
        <v>79055.910785888162</v>
      </c>
      <c r="F62" s="827">
        <f>'Table 4 Level 3'!P64*90%</f>
        <v>620.56799999999998</v>
      </c>
      <c r="G62" s="827">
        <f t="shared" si="17"/>
        <v>8687.9519999999993</v>
      </c>
      <c r="H62" s="827">
        <f t="shared" si="18"/>
        <v>87743.862785888166</v>
      </c>
      <c r="I62" s="827">
        <f>(('Table 3 Levels 1&amp;2'!AL66-D62)+('Table 4 Level 3'!P64-F62))*C62</f>
        <v>9749.3180873209094</v>
      </c>
      <c r="J62" s="827">
        <f t="shared" si="19"/>
        <v>-219</v>
      </c>
      <c r="K62" s="828">
        <f t="shared" si="20"/>
        <v>87524.862785888166</v>
      </c>
      <c r="L62" s="828">
        <f>'[18]LA Conn Adjustment'!X63+'[16]Oct midyear LA Connections'!K62+'[19]Feb midyear adj_Connections'!M64</f>
        <v>7879.0901053539128</v>
      </c>
      <c r="M62" s="829">
        <f t="shared" si="21"/>
        <v>95403.952891242079</v>
      </c>
      <c r="N62" s="829">
        <f t="shared" si="22"/>
        <v>7950</v>
      </c>
      <c r="O62" s="831">
        <f>'Table 5C1A-Madison Prep'!N65*90%</f>
        <v>1359</v>
      </c>
      <c r="P62" s="831">
        <f t="shared" si="23"/>
        <v>19026</v>
      </c>
      <c r="Q62" s="831">
        <f t="shared" si="24"/>
        <v>-48</v>
      </c>
      <c r="R62" s="831">
        <f t="shared" si="25"/>
        <v>18978</v>
      </c>
      <c r="S62" s="830">
        <f>'[18]LA Conn Adjustment'!AB63+'[16]Oct midyear LA Connections'!P62+'[19]Feb midyear adj_Connections'!S64</f>
        <v>0</v>
      </c>
      <c r="T62" s="855">
        <f t="shared" si="26"/>
        <v>18978</v>
      </c>
      <c r="U62" s="855">
        <f t="shared" si="27"/>
        <v>1582</v>
      </c>
      <c r="V62" s="832">
        <f t="shared" si="28"/>
        <v>114381.95289124208</v>
      </c>
      <c r="W62" s="832">
        <f t="shared" si="29"/>
        <v>9532</v>
      </c>
    </row>
    <row r="63" spans="1:23" s="545" customFormat="1" ht="16.5" customHeight="1">
      <c r="A63" s="102">
        <v>60</v>
      </c>
      <c r="B63" s="798" t="s">
        <v>151</v>
      </c>
      <c r="C63" s="833">
        <f>'2-1-13 SIS'!L66</f>
        <v>26</v>
      </c>
      <c r="D63" s="834">
        <f>'Table 3 Levels 1&amp;2'!AL67*90%</f>
        <v>4446.8250098049375</v>
      </c>
      <c r="E63" s="834">
        <f t="shared" si="16"/>
        <v>115617.45025492838</v>
      </c>
      <c r="F63" s="835">
        <f>'Table 4 Level 3'!P65*90%</f>
        <v>534.63599999999997</v>
      </c>
      <c r="G63" s="835">
        <f t="shared" si="17"/>
        <v>13900.536</v>
      </c>
      <c r="H63" s="835">
        <f t="shared" si="18"/>
        <v>129517.98625492837</v>
      </c>
      <c r="I63" s="835">
        <f>(('Table 3 Levels 1&amp;2'!AL67-D63)+('Table 4 Level 3'!P65-F63))*C63</f>
        <v>14390.887361658693</v>
      </c>
      <c r="J63" s="835">
        <f t="shared" si="19"/>
        <v>-324</v>
      </c>
      <c r="K63" s="836">
        <f t="shared" si="20"/>
        <v>129193.98625492837</v>
      </c>
      <c r="L63" s="836">
        <f>'[18]LA Conn Adjustment'!X64+'[16]Oct midyear LA Connections'!K63+'[19]Feb midyear adj_Connections'!M65</f>
        <v>0</v>
      </c>
      <c r="M63" s="837">
        <f t="shared" si="21"/>
        <v>129193.98625492837</v>
      </c>
      <c r="N63" s="837">
        <f t="shared" si="22"/>
        <v>10766</v>
      </c>
      <c r="O63" s="839">
        <f>'Table 5C1A-Madison Prep'!N66*90%</f>
        <v>3413.7000000000003</v>
      </c>
      <c r="P63" s="839">
        <f t="shared" si="23"/>
        <v>88756.200000000012</v>
      </c>
      <c r="Q63" s="839">
        <f t="shared" si="24"/>
        <v>-222</v>
      </c>
      <c r="R63" s="839">
        <f t="shared" si="25"/>
        <v>88534.200000000012</v>
      </c>
      <c r="S63" s="838">
        <f>'[18]LA Conn Adjustment'!AB64+'[16]Oct midyear LA Connections'!P63+'[19]Feb midyear adj_Connections'!S65</f>
        <v>0</v>
      </c>
      <c r="T63" s="856">
        <f t="shared" si="26"/>
        <v>88534.200000000012</v>
      </c>
      <c r="U63" s="856">
        <f t="shared" si="27"/>
        <v>7378</v>
      </c>
      <c r="V63" s="840">
        <f t="shared" si="28"/>
        <v>217728.18625492838</v>
      </c>
      <c r="W63" s="840">
        <f t="shared" si="29"/>
        <v>18144</v>
      </c>
    </row>
    <row r="64" spans="1:23" s="545" customFormat="1" ht="16.5" customHeight="1">
      <c r="A64" s="101">
        <v>61</v>
      </c>
      <c r="B64" s="797" t="s">
        <v>152</v>
      </c>
      <c r="C64" s="817">
        <f>'2-1-13 SIS'!L67</f>
        <v>9</v>
      </c>
      <c r="D64" s="818">
        <f>'Table 3 Levels 1&amp;2'!AL68*90%</f>
        <v>2617.2310382405308</v>
      </c>
      <c r="E64" s="818">
        <f t="shared" si="16"/>
        <v>23555.079344164777</v>
      </c>
      <c r="F64" s="819">
        <f>'Table 4 Level 3'!P66*90%</f>
        <v>750.33899999999994</v>
      </c>
      <c r="G64" s="819">
        <f t="shared" si="17"/>
        <v>6753.0509999999995</v>
      </c>
      <c r="H64" s="819">
        <f t="shared" si="18"/>
        <v>30308.130344164776</v>
      </c>
      <c r="I64" s="819">
        <f>(('Table 3 Levels 1&amp;2'!AL68-D64)+('Table 4 Level 3'!P66-F64))*C64</f>
        <v>3367.5700382405284</v>
      </c>
      <c r="J64" s="819">
        <f t="shared" si="19"/>
        <v>-76</v>
      </c>
      <c r="K64" s="820">
        <f t="shared" si="20"/>
        <v>30232.130344164776</v>
      </c>
      <c r="L64" s="820">
        <f>'[18]LA Conn Adjustment'!X65+'[16]Oct midyear LA Connections'!K64+'[19]Feb midyear adj_Connections'!M66</f>
        <v>0</v>
      </c>
      <c r="M64" s="821">
        <f t="shared" si="21"/>
        <v>30232.130344164776</v>
      </c>
      <c r="N64" s="821">
        <f t="shared" si="22"/>
        <v>2519</v>
      </c>
      <c r="O64" s="823">
        <f>'Table 5C1A-Madison Prep'!N67*90%</f>
        <v>5913</v>
      </c>
      <c r="P64" s="823">
        <f t="shared" si="23"/>
        <v>53217</v>
      </c>
      <c r="Q64" s="823">
        <f t="shared" si="24"/>
        <v>-133</v>
      </c>
      <c r="R64" s="823">
        <f t="shared" si="25"/>
        <v>53084</v>
      </c>
      <c r="S64" s="822">
        <f>'[18]LA Conn Adjustment'!AB65+'[16]Oct midyear LA Connections'!P64+'[19]Feb midyear adj_Connections'!S66</f>
        <v>0</v>
      </c>
      <c r="T64" s="854">
        <f t="shared" si="26"/>
        <v>53084</v>
      </c>
      <c r="U64" s="854">
        <f t="shared" si="27"/>
        <v>4424</v>
      </c>
      <c r="V64" s="824">
        <f t="shared" si="28"/>
        <v>83316.130344164776</v>
      </c>
      <c r="W64" s="824">
        <f t="shared" si="29"/>
        <v>6943</v>
      </c>
    </row>
    <row r="65" spans="1:23" s="545" customFormat="1" ht="16.5" customHeight="1">
      <c r="A65" s="101">
        <v>62</v>
      </c>
      <c r="B65" s="797" t="s">
        <v>153</v>
      </c>
      <c r="C65" s="825">
        <f>'2-1-13 SIS'!L68</f>
        <v>1</v>
      </c>
      <c r="D65" s="826">
        <f>'Table 3 Levels 1&amp;2'!AL69*90%</f>
        <v>5086.9557663049882</v>
      </c>
      <c r="E65" s="826">
        <f t="shared" si="16"/>
        <v>5086.9557663049882</v>
      </c>
      <c r="F65" s="827">
        <f>'Table 4 Level 3'!P67*90%</f>
        <v>464.47200000000004</v>
      </c>
      <c r="G65" s="827">
        <f t="shared" si="17"/>
        <v>464.47200000000004</v>
      </c>
      <c r="H65" s="827">
        <f t="shared" si="18"/>
        <v>5551.4277663049879</v>
      </c>
      <c r="I65" s="827">
        <f>(('Table 3 Levels 1&amp;2'!AL69-D65)+('Table 4 Level 3'!P67-F65))*C65</f>
        <v>616.82530736722106</v>
      </c>
      <c r="J65" s="827">
        <f t="shared" si="19"/>
        <v>-14</v>
      </c>
      <c r="K65" s="828">
        <f t="shared" si="20"/>
        <v>5537.4277663049879</v>
      </c>
      <c r="L65" s="828">
        <f>'[18]LA Conn Adjustment'!X66+'[16]Oct midyear LA Connections'!K65+'[19]Feb midyear adj_Connections'!M67</f>
        <v>0</v>
      </c>
      <c r="M65" s="829">
        <f t="shared" si="21"/>
        <v>5537.4277663049879</v>
      </c>
      <c r="N65" s="829">
        <f t="shared" si="22"/>
        <v>461</v>
      </c>
      <c r="O65" s="831">
        <f>'Table 5C1A-Madison Prep'!N68*90%</f>
        <v>1740.6000000000001</v>
      </c>
      <c r="P65" s="831">
        <f t="shared" si="23"/>
        <v>1740.6000000000001</v>
      </c>
      <c r="Q65" s="831">
        <f t="shared" si="24"/>
        <v>-4</v>
      </c>
      <c r="R65" s="831">
        <f t="shared" si="25"/>
        <v>1736.6000000000001</v>
      </c>
      <c r="S65" s="830">
        <f>'[18]LA Conn Adjustment'!AB66+'[16]Oct midyear LA Connections'!P65+'[19]Feb midyear adj_Connections'!S67</f>
        <v>0</v>
      </c>
      <c r="T65" s="855">
        <f t="shared" si="26"/>
        <v>1736.6000000000001</v>
      </c>
      <c r="U65" s="855">
        <f t="shared" si="27"/>
        <v>145</v>
      </c>
      <c r="V65" s="832">
        <f t="shared" si="28"/>
        <v>7274.0277663049883</v>
      </c>
      <c r="W65" s="832">
        <f t="shared" si="29"/>
        <v>606</v>
      </c>
    </row>
    <row r="66" spans="1:23" s="545" customFormat="1" ht="16.5" customHeight="1">
      <c r="A66" s="101">
        <v>63</v>
      </c>
      <c r="B66" s="797" t="s">
        <v>154</v>
      </c>
      <c r="C66" s="825">
        <f>'2-1-13 SIS'!L69</f>
        <v>1</v>
      </c>
      <c r="D66" s="826">
        <f>'Table 3 Levels 1&amp;2'!AL70*90%</f>
        <v>3926.0706784293629</v>
      </c>
      <c r="E66" s="826">
        <f t="shared" si="16"/>
        <v>3926.0706784293629</v>
      </c>
      <c r="F66" s="827">
        <f>'Table 4 Level 3'!P68*90%</f>
        <v>681.11099999999999</v>
      </c>
      <c r="G66" s="827">
        <f t="shared" si="17"/>
        <v>681.11099999999999</v>
      </c>
      <c r="H66" s="827">
        <f t="shared" si="18"/>
        <v>4607.1816784293633</v>
      </c>
      <c r="I66" s="827">
        <f>(('Table 3 Levels 1&amp;2'!AL70-D66)+('Table 4 Level 3'!P68-F66))*C66</f>
        <v>511.90907538104</v>
      </c>
      <c r="J66" s="827">
        <f t="shared" si="19"/>
        <v>-12</v>
      </c>
      <c r="K66" s="828">
        <f t="shared" si="20"/>
        <v>4595.1816784293633</v>
      </c>
      <c r="L66" s="828">
        <f>'[18]LA Conn Adjustment'!X67+'[16]Oct midyear LA Connections'!K66+'[19]Feb midyear adj_Connections'!M68</f>
        <v>0</v>
      </c>
      <c r="M66" s="829">
        <f t="shared" si="21"/>
        <v>4595.1816784293633</v>
      </c>
      <c r="N66" s="829">
        <f t="shared" si="22"/>
        <v>383</v>
      </c>
      <c r="O66" s="831">
        <f>'Table 5C1A-Madison Prep'!N69*90%</f>
        <v>6108.3</v>
      </c>
      <c r="P66" s="831">
        <f t="shared" si="23"/>
        <v>6108.3</v>
      </c>
      <c r="Q66" s="831">
        <f t="shared" si="24"/>
        <v>-15</v>
      </c>
      <c r="R66" s="831">
        <f t="shared" si="25"/>
        <v>6093.3</v>
      </c>
      <c r="S66" s="830">
        <f>'[18]LA Conn Adjustment'!AB67+'[16]Oct midyear LA Connections'!P66+'[19]Feb midyear adj_Connections'!S68</f>
        <v>0</v>
      </c>
      <c r="T66" s="855">
        <f t="shared" si="26"/>
        <v>6093.3</v>
      </c>
      <c r="U66" s="855">
        <f t="shared" si="27"/>
        <v>508</v>
      </c>
      <c r="V66" s="832">
        <f t="shared" si="28"/>
        <v>10688.481678429363</v>
      </c>
      <c r="W66" s="832">
        <f t="shared" si="29"/>
        <v>891</v>
      </c>
    </row>
    <row r="67" spans="1:23" s="545" customFormat="1" ht="16.5" customHeight="1">
      <c r="A67" s="101">
        <v>64</v>
      </c>
      <c r="B67" s="797" t="s">
        <v>155</v>
      </c>
      <c r="C67" s="825">
        <f>'2-1-13 SIS'!L70</f>
        <v>4</v>
      </c>
      <c r="D67" s="826">
        <f>'Table 3 Levels 1&amp;2'!AL71*90%</f>
        <v>5364.1844164803006</v>
      </c>
      <c r="E67" s="826">
        <f t="shared" si="16"/>
        <v>21456.737665921202</v>
      </c>
      <c r="F67" s="827">
        <f>'Table 4 Level 3'!P69*90%</f>
        <v>533.39400000000001</v>
      </c>
      <c r="G67" s="827">
        <f t="shared" si="17"/>
        <v>2133.576</v>
      </c>
      <c r="H67" s="827">
        <f t="shared" si="18"/>
        <v>23590.313665921203</v>
      </c>
      <c r="I67" s="827">
        <f>(('Table 3 Levels 1&amp;2'!AL71-D67)+('Table 4 Level 3'!P69-F67))*C67</f>
        <v>2621.1459628801326</v>
      </c>
      <c r="J67" s="827">
        <f t="shared" si="19"/>
        <v>-59</v>
      </c>
      <c r="K67" s="828">
        <f t="shared" si="20"/>
        <v>23531.313665921203</v>
      </c>
      <c r="L67" s="828">
        <f>'[18]LA Conn Adjustment'!X68+'[16]Oct midyear LA Connections'!K67+'[19]Feb midyear adj_Connections'!M69</f>
        <v>0</v>
      </c>
      <c r="M67" s="829">
        <f t="shared" si="21"/>
        <v>23531.313665921203</v>
      </c>
      <c r="N67" s="829">
        <f t="shared" si="22"/>
        <v>1961</v>
      </c>
      <c r="O67" s="831">
        <f>'Table 5C1A-Madison Prep'!N70*90%</f>
        <v>2610.9</v>
      </c>
      <c r="P67" s="831">
        <f t="shared" si="23"/>
        <v>10443.6</v>
      </c>
      <c r="Q67" s="831">
        <f t="shared" si="24"/>
        <v>-26</v>
      </c>
      <c r="R67" s="831">
        <f t="shared" si="25"/>
        <v>10417.6</v>
      </c>
      <c r="S67" s="830">
        <f>'[18]LA Conn Adjustment'!AB68+'[16]Oct midyear LA Connections'!P67+'[19]Feb midyear adj_Connections'!S69</f>
        <v>0</v>
      </c>
      <c r="T67" s="855">
        <f t="shared" si="26"/>
        <v>10417.6</v>
      </c>
      <c r="U67" s="855">
        <f t="shared" si="27"/>
        <v>868</v>
      </c>
      <c r="V67" s="832">
        <f t="shared" si="28"/>
        <v>33948.913665921202</v>
      </c>
      <c r="W67" s="832">
        <f t="shared" si="29"/>
        <v>2829</v>
      </c>
    </row>
    <row r="68" spans="1:23" s="545" customFormat="1" ht="16.5" customHeight="1">
      <c r="A68" s="102">
        <v>65</v>
      </c>
      <c r="B68" s="798" t="s">
        <v>156</v>
      </c>
      <c r="C68" s="833">
        <f>'2-1-13 SIS'!L71</f>
        <v>4</v>
      </c>
      <c r="D68" s="834">
        <f>'Table 3 Levels 1&amp;2'!AL72*90%</f>
        <v>4121.3495072796013</v>
      </c>
      <c r="E68" s="834">
        <f t="shared" si="16"/>
        <v>16485.398029118405</v>
      </c>
      <c r="F68" s="835">
        <f>'Table 4 Level 3'!P70*90%</f>
        <v>746.20799999999997</v>
      </c>
      <c r="G68" s="835">
        <f t="shared" si="17"/>
        <v>2984.8319999999999</v>
      </c>
      <c r="H68" s="835">
        <f t="shared" si="18"/>
        <v>19470.230029118404</v>
      </c>
      <c r="I68" s="835">
        <f>(('Table 3 Levels 1&amp;2'!AL72-D68)+('Table 4 Level 3'!P70-F68))*C68</f>
        <v>2163.3588921242654</v>
      </c>
      <c r="J68" s="835">
        <f t="shared" si="19"/>
        <v>-49</v>
      </c>
      <c r="K68" s="836">
        <f t="shared" si="20"/>
        <v>19421.230029118404</v>
      </c>
      <c r="L68" s="836">
        <f>'[18]LA Conn Adjustment'!X69+'[16]Oct midyear LA Connections'!K68+'[19]Feb midyear adj_Connections'!M70</f>
        <v>0</v>
      </c>
      <c r="M68" s="837">
        <f t="shared" si="21"/>
        <v>19421.230029118404</v>
      </c>
      <c r="N68" s="837">
        <f t="shared" si="22"/>
        <v>1618</v>
      </c>
      <c r="O68" s="839">
        <f>'Table 5C1A-Madison Prep'!N71*90%</f>
        <v>4500.9000000000005</v>
      </c>
      <c r="P68" s="839">
        <f t="shared" si="23"/>
        <v>18003.600000000002</v>
      </c>
      <c r="Q68" s="839">
        <f t="shared" si="24"/>
        <v>-45</v>
      </c>
      <c r="R68" s="839">
        <f t="shared" si="25"/>
        <v>17958.600000000002</v>
      </c>
      <c r="S68" s="838">
        <f>'[18]LA Conn Adjustment'!AB69+'[16]Oct midyear LA Connections'!P68+'[19]Feb midyear adj_Connections'!S70</f>
        <v>0</v>
      </c>
      <c r="T68" s="856">
        <f t="shared" si="26"/>
        <v>17958.600000000002</v>
      </c>
      <c r="U68" s="856">
        <f t="shared" si="27"/>
        <v>1497</v>
      </c>
      <c r="V68" s="840">
        <f t="shared" si="28"/>
        <v>37379.830029118406</v>
      </c>
      <c r="W68" s="840">
        <f t="shared" si="29"/>
        <v>3115</v>
      </c>
    </row>
    <row r="69" spans="1:23" s="545" customFormat="1" ht="16.5" customHeight="1">
      <c r="A69" s="101">
        <v>66</v>
      </c>
      <c r="B69" s="797" t="s">
        <v>157</v>
      </c>
      <c r="C69" s="817">
        <f>'2-1-13 SIS'!L72</f>
        <v>2</v>
      </c>
      <c r="D69" s="818">
        <f>'Table 3 Levels 1&amp;2'!AL73*90%</f>
        <v>5733.7297376142224</v>
      </c>
      <c r="E69" s="818">
        <f t="shared" ref="E69:E72" si="30">C69*D69</f>
        <v>11467.459475228445</v>
      </c>
      <c r="F69" s="819">
        <f>'Table 4 Level 3'!P71*90%</f>
        <v>657.05399999999997</v>
      </c>
      <c r="G69" s="819">
        <f t="shared" ref="G69:G72" si="31">F69*C69</f>
        <v>1314.1079999999999</v>
      </c>
      <c r="H69" s="819">
        <f t="shared" ref="H69:H72" si="32">E69+G69</f>
        <v>12781.567475228445</v>
      </c>
      <c r="I69" s="819">
        <f>(('Table 3 Levels 1&amp;2'!AL73-D69)+('Table 4 Level 3'!P71-F69))*C69</f>
        <v>1420.1741639142722</v>
      </c>
      <c r="J69" s="819">
        <f t="shared" ref="J69:J72" si="33">ROUND(-0.25%*H69,0)</f>
        <v>-32</v>
      </c>
      <c r="K69" s="820">
        <f t="shared" ref="K69:K72" si="34">H69+J69</f>
        <v>12749.567475228445</v>
      </c>
      <c r="L69" s="820">
        <f>'[18]LA Conn Adjustment'!X70+'[16]Oct midyear LA Connections'!K69+'[19]Feb midyear adj_Connections'!M71</f>
        <v>-9560.5770902195363</v>
      </c>
      <c r="M69" s="821">
        <f t="shared" ref="M69:M72" si="35">SUM(K69:L69)</f>
        <v>3188.9903850089086</v>
      </c>
      <c r="N69" s="821">
        <f t="shared" ref="N69:N72" si="36">ROUND(M69/12,0)</f>
        <v>266</v>
      </c>
      <c r="O69" s="823">
        <f>'Table 5C1A-Madison Prep'!N72*90%</f>
        <v>3073.5</v>
      </c>
      <c r="P69" s="823">
        <f t="shared" ref="P69:P72" si="37">O69*C69</f>
        <v>6147</v>
      </c>
      <c r="Q69" s="823">
        <f t="shared" ref="Q69:Q72" si="38">ROUND(P69*-0.25%,0)</f>
        <v>-15</v>
      </c>
      <c r="R69" s="823">
        <f t="shared" ref="R69:R72" si="39">SUM(P69:Q69)</f>
        <v>6132</v>
      </c>
      <c r="S69" s="822">
        <f>'[18]LA Conn Adjustment'!AB70+'[16]Oct midyear LA Connections'!P69+'[19]Feb midyear adj_Connections'!S71</f>
        <v>0</v>
      </c>
      <c r="T69" s="854">
        <f t="shared" ref="T69:T72" si="40">SUM(R69:S69)</f>
        <v>6132</v>
      </c>
      <c r="U69" s="854">
        <f t="shared" ref="U69:U72" si="41">ROUND(T69/12,0)</f>
        <v>511</v>
      </c>
      <c r="V69" s="824">
        <f t="shared" ref="V69:V72" si="42">T69+M69</f>
        <v>9320.9903850089086</v>
      </c>
      <c r="W69" s="824">
        <f t="shared" ref="W69:W72" si="43">N69+U69</f>
        <v>777</v>
      </c>
    </row>
    <row r="70" spans="1:23" s="545" customFormat="1" ht="16.5" customHeight="1">
      <c r="A70" s="101">
        <v>67</v>
      </c>
      <c r="B70" s="797" t="s">
        <v>32</v>
      </c>
      <c r="C70" s="825">
        <f>'2-1-13 SIS'!L73</f>
        <v>3</v>
      </c>
      <c r="D70" s="826">
        <f>'Table 3 Levels 1&amp;2'!AL74*90%</f>
        <v>4456.4408938895622</v>
      </c>
      <c r="E70" s="826">
        <f t="shared" si="30"/>
        <v>13369.322681668687</v>
      </c>
      <c r="F70" s="827">
        <f>'Table 4 Level 3'!P72*90%</f>
        <v>644.04899999999998</v>
      </c>
      <c r="G70" s="827">
        <f t="shared" si="31"/>
        <v>1932.1469999999999</v>
      </c>
      <c r="H70" s="827">
        <f t="shared" si="32"/>
        <v>15301.469681668688</v>
      </c>
      <c r="I70" s="827">
        <f>(('Table 3 Levels 1&amp;2'!AL74-D70)+('Table 4 Level 3'!P72-F70))*C70</f>
        <v>1700.1632979631868</v>
      </c>
      <c r="J70" s="827">
        <f t="shared" si="33"/>
        <v>-38</v>
      </c>
      <c r="K70" s="828">
        <f t="shared" si="34"/>
        <v>15263.469681668688</v>
      </c>
      <c r="L70" s="828">
        <f>'[18]LA Conn Adjustment'!X71+'[16]Oct midyear LA Connections'!K70+'[19]Feb midyear adj_Connections'!M72</f>
        <v>0</v>
      </c>
      <c r="M70" s="829">
        <f t="shared" si="35"/>
        <v>15263.469681668688</v>
      </c>
      <c r="N70" s="829">
        <f t="shared" si="36"/>
        <v>1272</v>
      </c>
      <c r="O70" s="831">
        <f>'Table 5C1A-Madison Prep'!N73*90%</f>
        <v>4698.9000000000005</v>
      </c>
      <c r="P70" s="831">
        <f t="shared" si="37"/>
        <v>14096.7</v>
      </c>
      <c r="Q70" s="831">
        <f t="shared" si="38"/>
        <v>-35</v>
      </c>
      <c r="R70" s="831">
        <f t="shared" si="39"/>
        <v>14061.7</v>
      </c>
      <c r="S70" s="830">
        <f>'[18]LA Conn Adjustment'!AB71+'[16]Oct midyear LA Connections'!P70+'[19]Feb midyear adj_Connections'!S72</f>
        <v>0</v>
      </c>
      <c r="T70" s="855">
        <f t="shared" si="40"/>
        <v>14061.7</v>
      </c>
      <c r="U70" s="855">
        <f t="shared" si="41"/>
        <v>1172</v>
      </c>
      <c r="V70" s="832">
        <f t="shared" si="42"/>
        <v>29325.169681668689</v>
      </c>
      <c r="W70" s="832">
        <f t="shared" si="43"/>
        <v>2444</v>
      </c>
    </row>
    <row r="71" spans="1:23" s="545" customFormat="1" ht="16.5" customHeight="1">
      <c r="A71" s="101">
        <v>68</v>
      </c>
      <c r="B71" s="797" t="s">
        <v>30</v>
      </c>
      <c r="C71" s="825">
        <f>'2-1-13 SIS'!L74</f>
        <v>11</v>
      </c>
      <c r="D71" s="826">
        <f>'Table 3 Levels 1&amp;2'!AL75*90%</f>
        <v>5469.5158860329057</v>
      </c>
      <c r="E71" s="826">
        <f t="shared" si="30"/>
        <v>60164.674746361961</v>
      </c>
      <c r="F71" s="827">
        <f>'Table 4 Level 3'!P73*90%</f>
        <v>718.83</v>
      </c>
      <c r="G71" s="827">
        <f t="shared" si="31"/>
        <v>7907.13</v>
      </c>
      <c r="H71" s="827">
        <f t="shared" si="32"/>
        <v>68071.804746361959</v>
      </c>
      <c r="I71" s="827">
        <f>(('Table 3 Levels 1&amp;2'!AL75-D71)+('Table 4 Level 3'!P73-F71))*C71</f>
        <v>7563.5338607068788</v>
      </c>
      <c r="J71" s="827">
        <f t="shared" si="33"/>
        <v>-170</v>
      </c>
      <c r="K71" s="828">
        <f t="shared" si="34"/>
        <v>67901.804746361959</v>
      </c>
      <c r="L71" s="828">
        <f>'[18]LA Conn Adjustment'!X72+'[16]Oct midyear LA Connections'!K71+'[19]Feb midyear adj_Connections'!M73</f>
        <v>0</v>
      </c>
      <c r="M71" s="829">
        <f t="shared" si="35"/>
        <v>67901.804746361959</v>
      </c>
      <c r="N71" s="829">
        <f t="shared" si="36"/>
        <v>5658</v>
      </c>
      <c r="O71" s="831">
        <f>'Table 5C1A-Madison Prep'!N74*90%</f>
        <v>2412</v>
      </c>
      <c r="P71" s="831">
        <f t="shared" si="37"/>
        <v>26532</v>
      </c>
      <c r="Q71" s="831">
        <f t="shared" si="38"/>
        <v>-66</v>
      </c>
      <c r="R71" s="831">
        <f t="shared" si="39"/>
        <v>26466</v>
      </c>
      <c r="S71" s="830">
        <f>'[18]LA Conn Adjustment'!AB72+'[16]Oct midyear LA Connections'!P71+'[19]Feb midyear adj_Connections'!S73</f>
        <v>0</v>
      </c>
      <c r="T71" s="855">
        <f t="shared" si="40"/>
        <v>26466</v>
      </c>
      <c r="U71" s="855">
        <f t="shared" si="41"/>
        <v>2206</v>
      </c>
      <c r="V71" s="832">
        <f t="shared" si="42"/>
        <v>94367.804746361959</v>
      </c>
      <c r="W71" s="832">
        <f t="shared" si="43"/>
        <v>7864</v>
      </c>
    </row>
    <row r="72" spans="1:23" s="545" customFormat="1" ht="16.5" customHeight="1">
      <c r="A72" s="101">
        <v>69</v>
      </c>
      <c r="B72" s="797" t="s">
        <v>208</v>
      </c>
      <c r="C72" s="825">
        <f>'2-1-13 SIS'!L75</f>
        <v>2</v>
      </c>
      <c r="D72" s="826">
        <f>'Table 3 Levels 1&amp;2'!AL76*90%</f>
        <v>5027.2427796017919</v>
      </c>
      <c r="E72" s="826">
        <f t="shared" si="30"/>
        <v>10054.485559203584</v>
      </c>
      <c r="F72" s="827">
        <f>'Table 4 Level 3'!P74*90%</f>
        <v>635.10299999999995</v>
      </c>
      <c r="G72" s="827">
        <f t="shared" si="31"/>
        <v>1270.2059999999999</v>
      </c>
      <c r="H72" s="827">
        <f t="shared" si="32"/>
        <v>11324.691559203584</v>
      </c>
      <c r="I72" s="827">
        <f>(('Table 3 Levels 1&amp;2'!AL76-D72)+('Table 4 Level 3'!P74-F72))*C72</f>
        <v>1258.2990621337321</v>
      </c>
      <c r="J72" s="827">
        <f t="shared" si="33"/>
        <v>-28</v>
      </c>
      <c r="K72" s="828">
        <f t="shared" si="34"/>
        <v>11296.691559203584</v>
      </c>
      <c r="L72" s="828">
        <f>'[18]LA Conn Adjustment'!X73+'[16]Oct midyear LA Connections'!K72+'[19]Feb midyear adj_Connections'!M74</f>
        <v>0</v>
      </c>
      <c r="M72" s="829">
        <f t="shared" si="35"/>
        <v>11296.691559203584</v>
      </c>
      <c r="N72" s="829">
        <f t="shared" si="36"/>
        <v>941</v>
      </c>
      <c r="O72" s="831">
        <f>'Table 5C1A-Madison Prep'!N75*90%</f>
        <v>2936.7000000000003</v>
      </c>
      <c r="P72" s="831">
        <f t="shared" si="37"/>
        <v>5873.4000000000005</v>
      </c>
      <c r="Q72" s="831">
        <f t="shared" si="38"/>
        <v>-15</v>
      </c>
      <c r="R72" s="831">
        <f t="shared" si="39"/>
        <v>5858.4000000000005</v>
      </c>
      <c r="S72" s="830">
        <f>'[18]LA Conn Adjustment'!AB73+'[16]Oct midyear LA Connections'!P72+'[19]Feb midyear adj_Connections'!S74</f>
        <v>0</v>
      </c>
      <c r="T72" s="855">
        <f t="shared" si="40"/>
        <v>5858.4000000000005</v>
      </c>
      <c r="U72" s="855">
        <f t="shared" si="41"/>
        <v>488</v>
      </c>
      <c r="V72" s="832">
        <f t="shared" si="42"/>
        <v>17155.091559203585</v>
      </c>
      <c r="W72" s="832">
        <f t="shared" si="43"/>
        <v>1429</v>
      </c>
    </row>
    <row r="73" spans="1:23" s="847" customFormat="1" ht="16.5" customHeight="1">
      <c r="A73" s="841"/>
      <c r="B73" s="799" t="s">
        <v>437</v>
      </c>
      <c r="C73" s="842">
        <f>SUM(C4:C72)</f>
        <v>1200</v>
      </c>
      <c r="D73" s="843"/>
      <c r="E73" s="843">
        <f t="shared" ref="E73:W73" si="44">SUM(E4:E72)</f>
        <v>4800205.0669112299</v>
      </c>
      <c r="F73" s="844"/>
      <c r="G73" s="844">
        <f t="shared" si="44"/>
        <v>755643.25911563728</v>
      </c>
      <c r="H73" s="844">
        <f t="shared" si="44"/>
        <v>5555848.3260268662</v>
      </c>
      <c r="I73" s="844">
        <f t="shared" si="44"/>
        <v>616508.00394886779</v>
      </c>
      <c r="J73" s="844">
        <f t="shared" si="44"/>
        <v>-13893</v>
      </c>
      <c r="K73" s="845">
        <f t="shared" si="44"/>
        <v>5541955.3260268662</v>
      </c>
      <c r="L73" s="845">
        <f t="shared" si="44"/>
        <v>-5458.968882313522</v>
      </c>
      <c r="M73" s="846">
        <f t="shared" si="44"/>
        <v>5536496.3571445523</v>
      </c>
      <c r="N73" s="846">
        <f t="shared" si="44"/>
        <v>461371</v>
      </c>
      <c r="O73" s="801">
        <f>'Table 5C1A-Madison Prep'!N76*90%</f>
        <v>4052.7000000000003</v>
      </c>
      <c r="P73" s="801">
        <f t="shared" si="44"/>
        <v>4645622.7</v>
      </c>
      <c r="Q73" s="801">
        <f t="shared" si="44"/>
        <v>-11614</v>
      </c>
      <c r="R73" s="801">
        <f t="shared" si="44"/>
        <v>4634008.6999999993</v>
      </c>
      <c r="S73" s="801">
        <f t="shared" si="44"/>
        <v>-5940.9000000000005</v>
      </c>
      <c r="T73" s="857">
        <f t="shared" si="44"/>
        <v>4628067.8</v>
      </c>
      <c r="U73" s="857">
        <f t="shared" si="44"/>
        <v>385674</v>
      </c>
      <c r="V73" s="802">
        <f t="shared" si="44"/>
        <v>10164564.157144552</v>
      </c>
      <c r="W73" s="802">
        <f t="shared" si="44"/>
        <v>847045</v>
      </c>
    </row>
    <row r="74" spans="1:23" s="807" customFormat="1" ht="6.75" customHeight="1">
      <c r="A74" s="816"/>
      <c r="B74" s="815"/>
      <c r="C74" s="803"/>
      <c r="D74" s="804"/>
      <c r="E74" s="804"/>
      <c r="F74" s="804"/>
      <c r="G74" s="804"/>
      <c r="H74" s="804"/>
      <c r="I74" s="804"/>
      <c r="J74" s="804"/>
      <c r="K74" s="804"/>
      <c r="L74" s="804"/>
      <c r="M74" s="804"/>
      <c r="N74" s="804"/>
      <c r="O74" s="805"/>
      <c r="P74" s="805"/>
      <c r="Q74" s="806"/>
      <c r="R74" s="806"/>
      <c r="S74" s="806"/>
      <c r="T74" s="860"/>
      <c r="U74" s="860"/>
      <c r="V74" s="805"/>
      <c r="W74" s="805"/>
    </row>
    <row r="75" spans="1:23" s="545" customFormat="1" ht="21.75" customHeight="1">
      <c r="A75" s="816"/>
      <c r="B75" s="852" t="s">
        <v>435</v>
      </c>
      <c r="C75" s="541"/>
      <c r="D75" s="542"/>
      <c r="E75" s="542"/>
      <c r="F75" s="544"/>
      <c r="G75" s="544"/>
      <c r="H75" s="544"/>
      <c r="I75" s="544"/>
      <c r="J75" s="544">
        <f>-J73</f>
        <v>13893</v>
      </c>
      <c r="K75" s="717">
        <f>J75</f>
        <v>13893</v>
      </c>
      <c r="L75" s="717"/>
      <c r="M75" s="716">
        <f>K75</f>
        <v>13893</v>
      </c>
      <c r="N75" s="716"/>
      <c r="O75" s="543"/>
      <c r="P75" s="573"/>
      <c r="Q75" s="573">
        <f>-Q73</f>
        <v>11614</v>
      </c>
      <c r="R75" s="573">
        <f>Q75</f>
        <v>11614</v>
      </c>
      <c r="S75" s="573"/>
      <c r="T75" s="858">
        <f>R75</f>
        <v>11614</v>
      </c>
      <c r="U75" s="858"/>
      <c r="V75" s="574">
        <f t="shared" ref="V75" si="45">T75+M75</f>
        <v>25507</v>
      </c>
      <c r="W75" s="574"/>
    </row>
    <row r="76" spans="1:23" s="807" customFormat="1" ht="6" customHeight="1">
      <c r="A76" s="816"/>
      <c r="B76" s="815"/>
      <c r="C76" s="803"/>
      <c r="D76" s="804"/>
      <c r="E76" s="804"/>
      <c r="F76" s="804"/>
      <c r="G76" s="804"/>
      <c r="H76" s="804"/>
      <c r="I76" s="804"/>
      <c r="J76" s="804"/>
      <c r="K76" s="804"/>
      <c r="L76" s="804"/>
      <c r="M76" s="804"/>
      <c r="N76" s="804"/>
      <c r="O76" s="805"/>
      <c r="P76" s="805"/>
      <c r="Q76" s="806"/>
      <c r="R76" s="806"/>
      <c r="S76" s="806"/>
      <c r="T76" s="860"/>
      <c r="U76" s="860"/>
      <c r="V76" s="805"/>
      <c r="W76" s="805"/>
    </row>
    <row r="77" spans="1:23" s="851" customFormat="1" ht="33" customHeight="1">
      <c r="A77" s="848"/>
      <c r="B77" s="808" t="s">
        <v>436</v>
      </c>
      <c r="C77" s="849">
        <f>SUM(C73:C76)</f>
        <v>1200</v>
      </c>
      <c r="D77" s="850"/>
      <c r="E77" s="850">
        <f t="shared" ref="E77:V77" si="46">SUM(E73:E76)</f>
        <v>4800205.0669112299</v>
      </c>
      <c r="F77" s="809"/>
      <c r="G77" s="809">
        <f t="shared" si="46"/>
        <v>755643.25911563728</v>
      </c>
      <c r="H77" s="809">
        <f t="shared" si="46"/>
        <v>5555848.3260268662</v>
      </c>
      <c r="I77" s="809"/>
      <c r="J77" s="809">
        <f t="shared" si="46"/>
        <v>0</v>
      </c>
      <c r="K77" s="810">
        <f t="shared" si="46"/>
        <v>5555848.3260268662</v>
      </c>
      <c r="L77" s="810">
        <f t="shared" si="46"/>
        <v>-5458.968882313522</v>
      </c>
      <c r="M77" s="811">
        <f t="shared" si="46"/>
        <v>5550389.3571445523</v>
      </c>
      <c r="N77" s="811"/>
      <c r="O77" s="812"/>
      <c r="P77" s="813">
        <f t="shared" si="46"/>
        <v>4645622.7</v>
      </c>
      <c r="Q77" s="813">
        <f t="shared" si="46"/>
        <v>0</v>
      </c>
      <c r="R77" s="813">
        <f t="shared" si="46"/>
        <v>4645622.6999999993</v>
      </c>
      <c r="S77" s="813">
        <f t="shared" si="46"/>
        <v>-5940.9000000000005</v>
      </c>
      <c r="T77" s="859">
        <f t="shared" si="46"/>
        <v>4639681.8</v>
      </c>
      <c r="U77" s="859"/>
      <c r="V77" s="814">
        <f t="shared" si="46"/>
        <v>10190071.157144552</v>
      </c>
      <c r="W77" s="814"/>
    </row>
    <row r="78" spans="1:23" ht="13.5" customHeight="1">
      <c r="B78" s="546"/>
      <c r="C78" s="547"/>
      <c r="D78" s="548"/>
      <c r="E78" s="547"/>
      <c r="F78" s="547"/>
      <c r="G78" s="547"/>
      <c r="H78" s="549"/>
      <c r="I78" s="549"/>
      <c r="J78" s="549"/>
      <c r="K78" s="549"/>
      <c r="L78" s="549"/>
      <c r="M78" s="549"/>
      <c r="N78" s="549"/>
    </row>
    <row r="79" spans="1:23" ht="17.25" customHeight="1">
      <c r="C79" s="1763"/>
      <c r="D79" s="1763"/>
      <c r="E79" s="1763"/>
      <c r="F79" s="1763"/>
      <c r="G79" s="1763"/>
      <c r="H79" s="1763"/>
      <c r="I79" s="1763"/>
      <c r="J79" s="1763"/>
      <c r="K79" s="1763"/>
      <c r="L79" s="1763"/>
      <c r="M79" s="1763"/>
      <c r="N79" s="1763"/>
    </row>
    <row r="80" spans="1:23" s="753" customFormat="1" ht="60.75" hidden="1" customHeight="1">
      <c r="C80" s="751"/>
      <c r="D80" s="752"/>
      <c r="E80" s="752"/>
      <c r="F80" s="752"/>
      <c r="G80" s="752">
        <f>(G77/90%)*10%</f>
        <v>83960.362123959698</v>
      </c>
      <c r="H80" s="752"/>
      <c r="I80" s="752"/>
      <c r="J80" s="752"/>
    </row>
    <row r="81" spans="2:14" s="753" customFormat="1" ht="60.75" customHeight="1">
      <c r="C81" s="1690"/>
      <c r="D81" s="1690"/>
      <c r="E81" s="1690"/>
      <c r="F81" s="1690"/>
      <c r="G81" s="1690"/>
      <c r="H81" s="1690"/>
      <c r="I81" s="1690"/>
      <c r="J81" s="1690"/>
      <c r="K81" s="1690"/>
      <c r="L81" s="1690"/>
      <c r="M81" s="1690"/>
      <c r="N81" s="1690"/>
    </row>
    <row r="82" spans="2:14" ht="60.75" customHeight="1">
      <c r="C82" s="550"/>
    </row>
    <row r="83" spans="2:14" ht="60.75" customHeight="1">
      <c r="B83" s="551"/>
    </row>
  </sheetData>
  <mergeCells count="25">
    <mergeCell ref="C81:N81"/>
    <mergeCell ref="T1:T2"/>
    <mergeCell ref="U1:U2"/>
    <mergeCell ref="V1:V2"/>
    <mergeCell ref="W1:W2"/>
    <mergeCell ref="C79:N79"/>
    <mergeCell ref="O1:O2"/>
    <mergeCell ref="P1:P2"/>
    <mergeCell ref="Q1:Q2"/>
    <mergeCell ref="R1:R2"/>
    <mergeCell ref="S1:S2"/>
    <mergeCell ref="J1:J2"/>
    <mergeCell ref="K1:K2"/>
    <mergeCell ref="L1:L2"/>
    <mergeCell ref="M1:M2"/>
    <mergeCell ref="N1:N2"/>
    <mergeCell ref="F1:F2"/>
    <mergeCell ref="G1:G2"/>
    <mergeCell ref="H1:H2"/>
    <mergeCell ref="I1:I2"/>
    <mergeCell ref="A1:A2"/>
    <mergeCell ref="B1:B2"/>
    <mergeCell ref="C1:C2"/>
    <mergeCell ref="D1:D2"/>
    <mergeCell ref="E1:E2"/>
  </mergeCells>
  <printOptions horizontalCentered="1"/>
  <pageMargins left="0.2" right="0.25" top="0.86" bottom="0.25" header="0.24" footer="0.25"/>
  <pageSetup paperSize="5" scale="60" firstPageNumber="69" orientation="portrait" useFirstPageNumber="1" r:id="rId1"/>
  <headerFooter alignWithMargins="0">
    <oddHeader xml:space="preserve">&amp;L&amp;"Arial,Bold"&amp;20Table 5C-3: FY2013-14 MFP Budget Letter 
Type 2 Charter School Allocation (Louisiana Connections Academy) </oddHeader>
    <oddFooter>&amp;R&amp;P</oddFooter>
  </headerFooter>
  <colBreaks count="3" manualBreakCount="3">
    <brk id="9" max="78" man="1"/>
    <brk id="14" max="78" man="1"/>
    <brk id="23" max="78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view="pageBreakPreview" topLeftCell="B1" zoomScale="70" zoomScaleNormal="70" zoomScaleSheetLayoutView="70" workbookViewId="0">
      <pane ySplit="9" topLeftCell="A10" activePane="bottomLeft" state="frozen"/>
      <selection activeCell="E16" sqref="E16"/>
      <selection pane="bottomLeft" activeCell="B28" sqref="B28:B33"/>
    </sheetView>
  </sheetViews>
  <sheetFormatPr defaultColWidth="9.140625" defaultRowHeight="12.75"/>
  <cols>
    <col min="1" max="1" width="7.5703125" style="1077" bestFit="1" customWidth="1"/>
    <col min="2" max="2" width="37.42578125" style="1077" customWidth="1"/>
    <col min="3" max="3" width="11.140625" style="1077" customWidth="1"/>
    <col min="4" max="4" width="11.85546875" style="1077" customWidth="1"/>
    <col min="5" max="5" width="22.140625" style="1077" customWidth="1"/>
    <col min="6" max="6" width="13.7109375" style="1077" customWidth="1"/>
    <col min="7" max="7" width="19.140625" style="1077" customWidth="1"/>
    <col min="8" max="8" width="20.7109375" style="1077" customWidth="1"/>
    <col min="9" max="9" width="18.140625" style="1077" customWidth="1"/>
    <col min="10" max="10" width="20.140625" style="1077" customWidth="1"/>
    <col min="11" max="11" width="14.140625" style="1077" customWidth="1"/>
    <col min="12" max="12" width="13" style="1077" customWidth="1"/>
    <col min="13" max="13" width="20.7109375" style="1077" customWidth="1"/>
    <col min="14" max="14" width="19.140625" style="1077" customWidth="1"/>
    <col min="15" max="16384" width="9.140625" style="1077"/>
  </cols>
  <sheetData>
    <row r="1" spans="1:14" ht="26.25" customHeight="1">
      <c r="B1" s="1769" t="s">
        <v>976</v>
      </c>
      <c r="C1" s="1769"/>
      <c r="D1" s="1769"/>
      <c r="E1" s="1769"/>
      <c r="F1" s="1769"/>
      <c r="G1" s="1769"/>
      <c r="H1" s="1769"/>
      <c r="I1" s="1769"/>
      <c r="J1" s="1307"/>
      <c r="K1" s="1307"/>
      <c r="L1" s="1307"/>
      <c r="M1" s="1307"/>
    </row>
    <row r="2" spans="1:14" ht="23.25">
      <c r="B2" s="1308" t="s">
        <v>951</v>
      </c>
      <c r="C2" s="1308"/>
      <c r="D2" s="1308"/>
      <c r="E2" s="1308"/>
      <c r="F2" s="1308"/>
      <c r="G2" s="1308"/>
      <c r="H2" s="1308"/>
      <c r="I2" s="1308"/>
      <c r="J2" s="1308"/>
      <c r="K2" s="1308"/>
      <c r="L2" s="1308"/>
      <c r="M2" s="1308"/>
    </row>
    <row r="3" spans="1:14" ht="18.75" customHeight="1">
      <c r="B3" s="1770"/>
      <c r="C3" s="1770"/>
      <c r="D3" s="1770"/>
      <c r="E3" s="1770"/>
      <c r="F3" s="1770"/>
      <c r="G3" s="1770"/>
      <c r="H3" s="1770"/>
      <c r="I3" s="1770"/>
      <c r="J3" s="1770"/>
      <c r="K3" s="1770"/>
      <c r="L3" s="1770"/>
      <c r="M3" s="1770"/>
    </row>
    <row r="4" spans="1:14" ht="23.25" hidden="1">
      <c r="B4" s="1771"/>
      <c r="C4" s="1771"/>
      <c r="D4" s="1771"/>
      <c r="E4" s="1771"/>
      <c r="F4" s="1771"/>
      <c r="G4" s="1771"/>
      <c r="H4" s="1771"/>
      <c r="I4" s="1771"/>
      <c r="J4" s="1771"/>
      <c r="K4" s="1771"/>
      <c r="L4" s="1771"/>
      <c r="M4" s="1771"/>
    </row>
    <row r="5" spans="1:14" ht="18">
      <c r="B5" s="1309"/>
      <c r="C5" s="1309"/>
      <c r="D5" s="1309"/>
      <c r="E5" s="1309"/>
      <c r="F5" s="1310"/>
      <c r="G5" s="1310"/>
      <c r="H5" s="1310"/>
      <c r="I5" s="1310"/>
      <c r="J5" s="1310"/>
      <c r="K5" s="1310"/>
      <c r="L5" s="1310"/>
      <c r="M5" s="1311"/>
    </row>
    <row r="6" spans="1:14" ht="63" customHeight="1">
      <c r="A6" s="1772" t="s">
        <v>185</v>
      </c>
      <c r="B6" s="1772" t="s">
        <v>880</v>
      </c>
      <c r="C6" s="1775" t="s">
        <v>900</v>
      </c>
      <c r="D6" s="1778" t="s">
        <v>977</v>
      </c>
      <c r="E6" s="1781" t="s">
        <v>881</v>
      </c>
      <c r="F6" s="1784" t="s">
        <v>882</v>
      </c>
      <c r="G6" s="1785"/>
      <c r="H6" s="1775" t="s">
        <v>883</v>
      </c>
      <c r="I6" s="1775" t="s">
        <v>884</v>
      </c>
      <c r="J6" s="1775" t="s">
        <v>885</v>
      </c>
      <c r="K6" s="1790" t="s">
        <v>971</v>
      </c>
      <c r="L6" s="1793" t="s">
        <v>979</v>
      </c>
      <c r="M6" s="1775" t="s">
        <v>886</v>
      </c>
      <c r="N6" s="1775" t="s">
        <v>901</v>
      </c>
    </row>
    <row r="7" spans="1:14" ht="53.25" customHeight="1">
      <c r="A7" s="1773"/>
      <c r="B7" s="1773"/>
      <c r="C7" s="1776"/>
      <c r="D7" s="1779"/>
      <c r="E7" s="1782"/>
      <c r="F7" s="1786" t="s">
        <v>887</v>
      </c>
      <c r="G7" s="1786" t="s">
        <v>888</v>
      </c>
      <c r="H7" s="1776"/>
      <c r="I7" s="1776"/>
      <c r="J7" s="1776"/>
      <c r="K7" s="1791"/>
      <c r="L7" s="1794"/>
      <c r="M7" s="1776"/>
      <c r="N7" s="1776"/>
    </row>
    <row r="8" spans="1:14" ht="127.5" customHeight="1">
      <c r="A8" s="1774"/>
      <c r="B8" s="1774"/>
      <c r="C8" s="1777"/>
      <c r="D8" s="1780"/>
      <c r="E8" s="1783"/>
      <c r="F8" s="1787"/>
      <c r="G8" s="1788"/>
      <c r="H8" s="1777"/>
      <c r="I8" s="1777"/>
      <c r="J8" s="1777"/>
      <c r="K8" s="1792"/>
      <c r="L8" s="1795"/>
      <c r="M8" s="1777"/>
      <c r="N8" s="1777"/>
    </row>
    <row r="9" spans="1:14">
      <c r="A9" s="1312"/>
      <c r="B9" s="1312"/>
      <c r="C9" s="1313">
        <v>1</v>
      </c>
      <c r="D9" s="1313">
        <f t="shared" ref="D9:M9" si="0">C9+1</f>
        <v>2</v>
      </c>
      <c r="E9" s="1313">
        <f t="shared" si="0"/>
        <v>3</v>
      </c>
      <c r="F9" s="1313">
        <f t="shared" si="0"/>
        <v>4</v>
      </c>
      <c r="G9" s="1313">
        <f t="shared" si="0"/>
        <v>5</v>
      </c>
      <c r="H9" s="1313">
        <f t="shared" si="0"/>
        <v>6</v>
      </c>
      <c r="I9" s="1313">
        <f>H9+1</f>
        <v>7</v>
      </c>
      <c r="J9" s="1313">
        <f t="shared" si="0"/>
        <v>8</v>
      </c>
      <c r="K9" s="1313">
        <f t="shared" si="0"/>
        <v>9</v>
      </c>
      <c r="L9" s="1313">
        <f t="shared" si="0"/>
        <v>10</v>
      </c>
      <c r="M9" s="1313">
        <f t="shared" si="0"/>
        <v>11</v>
      </c>
      <c r="N9" s="1313">
        <f>M9+1</f>
        <v>12</v>
      </c>
    </row>
    <row r="10" spans="1:14" ht="52.5" customHeight="1">
      <c r="A10" s="1314" t="s">
        <v>467</v>
      </c>
      <c r="B10" s="1314" t="s">
        <v>889</v>
      </c>
      <c r="C10" s="1315">
        <v>319</v>
      </c>
      <c r="D10" s="1316">
        <f>'[11]FY2013-14 Initial'!$L$72</f>
        <v>9580.2772303106685</v>
      </c>
      <c r="E10" s="1317">
        <f>C10*D10</f>
        <v>3056108.4364691032</v>
      </c>
      <c r="F10" s="1317">
        <v>716.29552188552179</v>
      </c>
      <c r="G10" s="1317">
        <f>C10*F10</f>
        <v>228498.27148148144</v>
      </c>
      <c r="H10" s="1317">
        <f>ROUND(E10+G10,0)</f>
        <v>3284607</v>
      </c>
      <c r="I10" s="1317">
        <f>-ROUND(H10*0.25%,0)</f>
        <v>-8212</v>
      </c>
      <c r="J10" s="1317">
        <f>SUM(H10:I10)</f>
        <v>3276395</v>
      </c>
      <c r="K10" s="1318">
        <v>0</v>
      </c>
      <c r="L10" s="1317">
        <v>0</v>
      </c>
      <c r="M10" s="1319">
        <f>SUM(J10:L10)</f>
        <v>3276395</v>
      </c>
      <c r="N10" s="1319">
        <f>ROUND(M10/12,0)</f>
        <v>273033</v>
      </c>
    </row>
    <row r="11" spans="1:14" ht="52.5" customHeight="1">
      <c r="A11" s="1320" t="s">
        <v>468</v>
      </c>
      <c r="B11" s="1320" t="s">
        <v>890</v>
      </c>
      <c r="C11" s="1315">
        <v>361</v>
      </c>
      <c r="D11" s="1316">
        <f>'[11]FY2013-14 Initial'!$L$58</f>
        <v>8461.0339872793593</v>
      </c>
      <c r="E11" s="1317">
        <f t="shared" ref="E11:E17" si="1">C11*D11</f>
        <v>3054433.2694078488</v>
      </c>
      <c r="F11" s="1317">
        <v>598.40363440561384</v>
      </c>
      <c r="G11" s="1317">
        <f t="shared" ref="G11:G17" si="2">C11*F11</f>
        <v>216023.71202042661</v>
      </c>
      <c r="H11" s="1317">
        <f t="shared" ref="H11:H17" si="3">ROUND(E11+G11,0)</f>
        <v>3270457</v>
      </c>
      <c r="I11" s="1317">
        <f t="shared" ref="I11:I17" si="4">-ROUND(H11*0.25%,0)</f>
        <v>-8176</v>
      </c>
      <c r="J11" s="1317">
        <f t="shared" ref="J11:J17" si="5">SUM(H11:I11)</f>
        <v>3262281</v>
      </c>
      <c r="K11" s="1318">
        <v>0</v>
      </c>
      <c r="L11" s="1317">
        <v>0</v>
      </c>
      <c r="M11" s="1319">
        <f t="shared" ref="M11:M17" si="6">SUM(J11:L11)</f>
        <v>3262281</v>
      </c>
      <c r="N11" s="1319">
        <f t="shared" ref="N11:N17" si="7">ROUND(M11/12,0)</f>
        <v>271857</v>
      </c>
    </row>
    <row r="12" spans="1:14" ht="52.5" customHeight="1">
      <c r="A12" s="1321" t="s">
        <v>469</v>
      </c>
      <c r="B12" s="1321" t="s">
        <v>891</v>
      </c>
      <c r="C12" s="1315">
        <v>735</v>
      </c>
      <c r="D12" s="1316">
        <f>'[11]FY2013-14 Initial'!$E$43</f>
        <v>8193.4894337711739</v>
      </c>
      <c r="E12" s="1317">
        <f t="shared" si="1"/>
        <v>6022214.733821813</v>
      </c>
      <c r="F12" s="1317">
        <v>714.81015756302509</v>
      </c>
      <c r="G12" s="1317">
        <f t="shared" si="2"/>
        <v>525385.46580882347</v>
      </c>
      <c r="H12" s="1317">
        <f t="shared" si="3"/>
        <v>6547600</v>
      </c>
      <c r="I12" s="1317">
        <f t="shared" si="4"/>
        <v>-16369</v>
      </c>
      <c r="J12" s="1317">
        <f t="shared" si="5"/>
        <v>6531231</v>
      </c>
      <c r="K12" s="1318">
        <v>0</v>
      </c>
      <c r="L12" s="1317">
        <f>'Table 4A Stipends'!G74</f>
        <v>96000</v>
      </c>
      <c r="M12" s="1319">
        <f t="shared" si="6"/>
        <v>6627231</v>
      </c>
      <c r="N12" s="1319">
        <f t="shared" si="7"/>
        <v>552269</v>
      </c>
    </row>
    <row r="13" spans="1:14" ht="52.5" customHeight="1">
      <c r="A13" s="1320" t="s">
        <v>470</v>
      </c>
      <c r="B13" s="1320" t="s">
        <v>892</v>
      </c>
      <c r="C13" s="1315">
        <v>694</v>
      </c>
      <c r="D13" s="1316">
        <f>'[11]FY2013-14 Initial'!$L$12</f>
        <v>6737.8166927080074</v>
      </c>
      <c r="E13" s="1317">
        <f t="shared" si="1"/>
        <v>4676044.7847393574</v>
      </c>
      <c r="F13" s="1317">
        <v>536.12413544332276</v>
      </c>
      <c r="G13" s="1317">
        <f t="shared" si="2"/>
        <v>372070.14999766601</v>
      </c>
      <c r="H13" s="1317">
        <f t="shared" si="3"/>
        <v>5048115</v>
      </c>
      <c r="I13" s="1317">
        <f t="shared" si="4"/>
        <v>-12620</v>
      </c>
      <c r="J13" s="1317">
        <f t="shared" si="5"/>
        <v>5035495</v>
      </c>
      <c r="K13" s="1318">
        <v>0</v>
      </c>
      <c r="L13" s="1317">
        <v>0</v>
      </c>
      <c r="M13" s="1319">
        <f t="shared" si="6"/>
        <v>5035495</v>
      </c>
      <c r="N13" s="1319">
        <f t="shared" si="7"/>
        <v>419625</v>
      </c>
    </row>
    <row r="14" spans="1:14" ht="52.5" customHeight="1">
      <c r="A14" s="1320" t="s">
        <v>471</v>
      </c>
      <c r="B14" s="1320" t="s">
        <v>893</v>
      </c>
      <c r="C14" s="1315">
        <v>675</v>
      </c>
      <c r="D14" s="1316">
        <f>'[11]FY2013-14 Initial'!$L$49</f>
        <v>7954.4730460987803</v>
      </c>
      <c r="E14" s="1317">
        <f t="shared" si="1"/>
        <v>5369269.3061166769</v>
      </c>
      <c r="F14" s="1317">
        <v>527.02354414153262</v>
      </c>
      <c r="G14" s="1317">
        <f t="shared" si="2"/>
        <v>355740.89229553455</v>
      </c>
      <c r="H14" s="1317">
        <f t="shared" si="3"/>
        <v>5725010</v>
      </c>
      <c r="I14" s="1317">
        <f t="shared" si="4"/>
        <v>-14313</v>
      </c>
      <c r="J14" s="1317">
        <f t="shared" si="5"/>
        <v>5710697</v>
      </c>
      <c r="K14" s="1318">
        <f>'[2]Adjusted Amounts'!$I$92</f>
        <v>-4508.0545995861094</v>
      </c>
      <c r="L14" s="1317">
        <v>0</v>
      </c>
      <c r="M14" s="1319">
        <f t="shared" si="6"/>
        <v>5706188.9454004141</v>
      </c>
      <c r="N14" s="1319">
        <f t="shared" si="7"/>
        <v>475516</v>
      </c>
    </row>
    <row r="15" spans="1:14" ht="52.5" customHeight="1">
      <c r="A15" s="1320" t="s">
        <v>472</v>
      </c>
      <c r="B15" s="1320" t="s">
        <v>894</v>
      </c>
      <c r="C15" s="1315">
        <v>951</v>
      </c>
      <c r="D15" s="1317">
        <f>'[11]FY2013-14 Initial'!$L$45</f>
        <v>13059.754527559055</v>
      </c>
      <c r="E15" s="1317">
        <f t="shared" si="1"/>
        <v>12419826.555708662</v>
      </c>
      <c r="F15" s="1317">
        <v>788.90242015830813</v>
      </c>
      <c r="G15" s="1317">
        <f t="shared" si="2"/>
        <v>750246.20157055103</v>
      </c>
      <c r="H15" s="1317">
        <f t="shared" si="3"/>
        <v>13170073</v>
      </c>
      <c r="I15" s="1317">
        <f t="shared" si="4"/>
        <v>-32925</v>
      </c>
      <c r="J15" s="1317">
        <f t="shared" si="5"/>
        <v>13137148</v>
      </c>
      <c r="K15" s="1318">
        <v>0</v>
      </c>
      <c r="L15" s="1317">
        <v>0</v>
      </c>
      <c r="M15" s="1319">
        <f t="shared" si="6"/>
        <v>13137148</v>
      </c>
      <c r="N15" s="1319">
        <f t="shared" si="7"/>
        <v>1094762</v>
      </c>
    </row>
    <row r="16" spans="1:14" ht="52.5" customHeight="1">
      <c r="A16" s="1314" t="s">
        <v>473</v>
      </c>
      <c r="B16" s="1314" t="s">
        <v>895</v>
      </c>
      <c r="C16" s="1315">
        <v>458</v>
      </c>
      <c r="D16" s="1317">
        <f>'[11]FY2013-14 Initial'!$L$43</f>
        <v>8962.4894337711739</v>
      </c>
      <c r="E16" s="1317">
        <f t="shared" si="1"/>
        <v>4104820.1606671978</v>
      </c>
      <c r="F16" s="1317">
        <v>705.7643831168831</v>
      </c>
      <c r="G16" s="1317">
        <f t="shared" si="2"/>
        <v>323240.08746753243</v>
      </c>
      <c r="H16" s="1317">
        <f t="shared" si="3"/>
        <v>4428060</v>
      </c>
      <c r="I16" s="1317">
        <f t="shared" si="4"/>
        <v>-11070</v>
      </c>
      <c r="J16" s="1317">
        <f t="shared" si="5"/>
        <v>4416990</v>
      </c>
      <c r="K16" s="1318">
        <v>0</v>
      </c>
      <c r="L16" s="1317">
        <v>0</v>
      </c>
      <c r="M16" s="1319">
        <f t="shared" si="6"/>
        <v>4416990</v>
      </c>
      <c r="N16" s="1319">
        <f t="shared" si="7"/>
        <v>368083</v>
      </c>
    </row>
    <row r="17" spans="1:14" ht="52.5" customHeight="1">
      <c r="A17" s="1320" t="s">
        <v>474</v>
      </c>
      <c r="B17" s="1320" t="s">
        <v>896</v>
      </c>
      <c r="C17" s="1322">
        <v>113</v>
      </c>
      <c r="D17" s="1319">
        <f>'[11]FY2013-14 Initial'!$L$36</f>
        <v>8715.5586133052639</v>
      </c>
      <c r="E17" s="1319">
        <f t="shared" si="1"/>
        <v>984858.12330349477</v>
      </c>
      <c r="F17" s="1319">
        <v>659.21180998497243</v>
      </c>
      <c r="G17" s="1319">
        <f t="shared" si="2"/>
        <v>74490.934528301892</v>
      </c>
      <c r="H17" s="1317">
        <f t="shared" si="3"/>
        <v>1059349</v>
      </c>
      <c r="I17" s="1317">
        <f t="shared" si="4"/>
        <v>-2648</v>
      </c>
      <c r="J17" s="1317">
        <f t="shared" si="5"/>
        <v>1056701</v>
      </c>
      <c r="K17" s="1318">
        <v>0</v>
      </c>
      <c r="L17" s="1317">
        <v>0</v>
      </c>
      <c r="M17" s="1319">
        <f t="shared" si="6"/>
        <v>1056701</v>
      </c>
      <c r="N17" s="1319">
        <f t="shared" si="7"/>
        <v>88058</v>
      </c>
    </row>
    <row r="18" spans="1:14" ht="52.5" customHeight="1">
      <c r="A18" s="1314"/>
      <c r="B18" s="1314" t="s">
        <v>897</v>
      </c>
      <c r="C18" s="1323">
        <f>SUM(C10:C17)</f>
        <v>4306</v>
      </c>
      <c r="D18" s="1324"/>
      <c r="E18" s="1324">
        <f>SUM(E10:E17)</f>
        <v>39687575.370234154</v>
      </c>
      <c r="F18" s="1324"/>
      <c r="G18" s="1324">
        <f t="shared" ref="G18:N18" si="8">SUM(G10:G17)</f>
        <v>2845695.7151703178</v>
      </c>
      <c r="H18" s="1324">
        <f t="shared" si="8"/>
        <v>42533271</v>
      </c>
      <c r="I18" s="1324">
        <f t="shared" si="8"/>
        <v>-106333</v>
      </c>
      <c r="J18" s="1324">
        <f t="shared" si="8"/>
        <v>42426938</v>
      </c>
      <c r="K18" s="1324">
        <f t="shared" si="8"/>
        <v>-4508.0545995861094</v>
      </c>
      <c r="L18" s="1324">
        <f t="shared" si="8"/>
        <v>96000</v>
      </c>
      <c r="M18" s="1325">
        <f t="shared" si="8"/>
        <v>42518429.945400417</v>
      </c>
      <c r="N18" s="1325">
        <f t="shared" si="8"/>
        <v>3543203</v>
      </c>
    </row>
    <row r="19" spans="1:14" ht="22.5" customHeight="1">
      <c r="A19" s="1326"/>
      <c r="B19" s="1326"/>
      <c r="C19" s="1327"/>
      <c r="D19" s="1328"/>
      <c r="E19" s="1327"/>
      <c r="F19" s="1327"/>
      <c r="G19" s="1327"/>
      <c r="H19" s="1327"/>
      <c r="I19" s="1327"/>
      <c r="J19" s="1327"/>
      <c r="K19" s="1327"/>
      <c r="L19" s="1327"/>
      <c r="M19" s="1329"/>
      <c r="N19" s="1329"/>
    </row>
    <row r="20" spans="1:14" ht="34.5" customHeight="1">
      <c r="A20" s="1330"/>
      <c r="B20" s="1330" t="s">
        <v>898</v>
      </c>
      <c r="C20" s="1322"/>
      <c r="D20" s="1317"/>
      <c r="E20" s="1317"/>
      <c r="F20" s="1317"/>
      <c r="G20" s="1317"/>
      <c r="H20" s="1317"/>
      <c r="I20" s="1317">
        <f>-I18</f>
        <v>106333</v>
      </c>
      <c r="J20" s="1317">
        <f>I20</f>
        <v>106333</v>
      </c>
      <c r="K20" s="1318"/>
      <c r="L20" s="1317"/>
      <c r="M20" s="1319">
        <f>J20</f>
        <v>106333</v>
      </c>
      <c r="N20" s="1319"/>
    </row>
    <row r="21" spans="1:14" ht="18">
      <c r="A21" s="1326"/>
      <c r="B21" s="1326"/>
      <c r="C21" s="1327"/>
      <c r="D21" s="1328"/>
      <c r="E21" s="1327"/>
      <c r="F21" s="1327"/>
      <c r="G21" s="1327"/>
      <c r="H21" s="1327"/>
      <c r="I21" s="1327"/>
      <c r="J21" s="1327"/>
      <c r="K21" s="1327"/>
      <c r="L21" s="1327"/>
      <c r="M21" s="1329"/>
      <c r="N21" s="1329"/>
    </row>
    <row r="22" spans="1:14" ht="18">
      <c r="A22" s="1331"/>
      <c r="B22" s="1331" t="s">
        <v>899</v>
      </c>
      <c r="C22" s="1323">
        <f>SUM(C18:C20)</f>
        <v>4306</v>
      </c>
      <c r="D22" s="1324"/>
      <c r="E22" s="1324">
        <f t="shared" ref="E22:L22" si="9">SUM(E18:E20)</f>
        <v>39687575.370234154</v>
      </c>
      <c r="F22" s="1324"/>
      <c r="G22" s="1324">
        <f t="shared" si="9"/>
        <v>2845695.7151703178</v>
      </c>
      <c r="H22" s="1324">
        <f t="shared" si="9"/>
        <v>42533271</v>
      </c>
      <c r="I22" s="1324">
        <f t="shared" si="9"/>
        <v>0</v>
      </c>
      <c r="J22" s="1324">
        <f t="shared" si="9"/>
        <v>42533271</v>
      </c>
      <c r="K22" s="1324">
        <f t="shared" si="9"/>
        <v>-4508.0545995861094</v>
      </c>
      <c r="L22" s="1324">
        <f t="shared" si="9"/>
        <v>96000</v>
      </c>
      <c r="M22" s="1324">
        <f>SUM(M18:M20)</f>
        <v>42624762.945400417</v>
      </c>
      <c r="N22" s="1324"/>
    </row>
    <row r="23" spans="1:14" ht="15">
      <c r="B23" s="1326"/>
      <c r="C23" s="1332"/>
      <c r="D23" s="1333"/>
      <c r="E23" s="1332"/>
      <c r="F23" s="1332"/>
      <c r="G23" s="1332"/>
      <c r="H23" s="1332"/>
      <c r="I23" s="1332"/>
      <c r="J23" s="1332"/>
      <c r="K23" s="1332"/>
      <c r="L23" s="1332"/>
      <c r="M23" s="1334"/>
    </row>
    <row r="24" spans="1:14" ht="15">
      <c r="B24" s="1326"/>
      <c r="C24" s="1332"/>
      <c r="D24" s="1333"/>
      <c r="E24" s="1332"/>
      <c r="F24" s="1332"/>
      <c r="G24" s="1332"/>
      <c r="H24" s="1033"/>
      <c r="I24" s="1033"/>
      <c r="J24" s="1033"/>
      <c r="K24" s="1335"/>
      <c r="L24" s="1033"/>
      <c r="M24" s="1334"/>
    </row>
    <row r="25" spans="1:14" ht="18">
      <c r="B25" s="1789"/>
      <c r="C25" s="1789"/>
      <c r="D25" s="1789"/>
      <c r="E25" s="1789"/>
      <c r="F25" s="1789"/>
      <c r="G25" s="1789"/>
      <c r="H25" s="1789"/>
      <c r="I25" s="1789"/>
      <c r="J25" s="1789"/>
      <c r="K25" s="1789"/>
      <c r="L25" s="1789"/>
      <c r="M25" s="1334"/>
    </row>
    <row r="26" spans="1:14" ht="15">
      <c r="B26" s="1326"/>
      <c r="C26" s="1332"/>
      <c r="D26" s="1333"/>
      <c r="E26" s="1332"/>
      <c r="F26" s="1332"/>
      <c r="G26" s="1332"/>
      <c r="H26" s="1033"/>
      <c r="I26" s="1033"/>
      <c r="J26" s="1033"/>
      <c r="K26" s="1335"/>
      <c r="L26" s="1033"/>
      <c r="M26" s="1334"/>
    </row>
    <row r="27" spans="1:14">
      <c r="B27" s="1326"/>
      <c r="C27" s="1332"/>
      <c r="D27" s="1333"/>
      <c r="E27" s="1332"/>
      <c r="F27" s="1332"/>
      <c r="G27" s="1332"/>
      <c r="H27" s="1033"/>
      <c r="I27" s="1033"/>
      <c r="J27" s="1033"/>
      <c r="K27" s="1335"/>
      <c r="L27" s="1033"/>
      <c r="M27" s="1336"/>
    </row>
    <row r="28" spans="1:14">
      <c r="B28" s="1337"/>
      <c r="C28" s="1332"/>
      <c r="D28" s="1333"/>
      <c r="E28" s="1332"/>
      <c r="F28" s="1332"/>
      <c r="G28" s="1332"/>
      <c r="H28" s="1033"/>
      <c r="I28" s="1033"/>
      <c r="J28" s="1033"/>
      <c r="K28" s="1033"/>
      <c r="L28" s="1033"/>
      <c r="M28" s="1332"/>
    </row>
    <row r="29" spans="1:14">
      <c r="B29" s="1338"/>
      <c r="C29" s="1339"/>
      <c r="D29" s="1340"/>
      <c r="E29" s="1339"/>
      <c r="F29" s="1339"/>
      <c r="G29" s="1339"/>
      <c r="H29" s="1339"/>
      <c r="I29" s="1339"/>
      <c r="J29" s="1339"/>
      <c r="K29" s="1339"/>
      <c r="L29" s="1339"/>
      <c r="M29" s="1341"/>
    </row>
    <row r="30" spans="1:14">
      <c r="B30" s="1342"/>
      <c r="C30" s="1342"/>
      <c r="D30" s="1342"/>
      <c r="E30" s="1343"/>
      <c r="F30" s="1343"/>
      <c r="G30" s="1343"/>
      <c r="H30" s="1343"/>
      <c r="I30" s="1343"/>
      <c r="J30" s="1343"/>
      <c r="K30" s="1343"/>
      <c r="L30" s="1343"/>
      <c r="M30" s="1342"/>
    </row>
    <row r="31" spans="1:14">
      <c r="B31" s="1342"/>
      <c r="C31" s="1342"/>
      <c r="D31" s="1342"/>
      <c r="E31" s="1343"/>
      <c r="F31" s="1343"/>
      <c r="G31" s="1343"/>
      <c r="H31" s="1343"/>
      <c r="I31" s="1343"/>
      <c r="J31" s="1343"/>
      <c r="K31" s="1343"/>
      <c r="L31" s="1343"/>
      <c r="M31" s="1342"/>
    </row>
    <row r="32" spans="1:14">
      <c r="B32" s="1342"/>
      <c r="C32" s="1342"/>
      <c r="D32" s="1342"/>
      <c r="E32" s="1342"/>
      <c r="F32" s="1342"/>
      <c r="G32" s="1342"/>
      <c r="H32" s="1342"/>
      <c r="I32" s="1342"/>
      <c r="J32" s="1342"/>
      <c r="K32" s="1342"/>
      <c r="L32" s="1342"/>
      <c r="M32" s="1342"/>
    </row>
    <row r="33" spans="2:13">
      <c r="B33" s="1342"/>
      <c r="C33" s="1342"/>
      <c r="D33" s="1342"/>
      <c r="E33" s="1342"/>
      <c r="F33" s="1342"/>
      <c r="G33" s="1342"/>
      <c r="H33" s="1342"/>
      <c r="I33" s="1342"/>
      <c r="J33" s="1342"/>
      <c r="K33" s="1342"/>
      <c r="L33" s="1342"/>
      <c r="M33" s="1342"/>
    </row>
    <row r="34" spans="2:13">
      <c r="B34" s="1342"/>
      <c r="C34" s="1342"/>
      <c r="D34" s="1342"/>
      <c r="E34" s="1342"/>
      <c r="F34" s="1342"/>
      <c r="G34" s="1342"/>
      <c r="H34" s="1342"/>
      <c r="I34" s="1342"/>
      <c r="J34" s="1342"/>
      <c r="K34" s="1342"/>
      <c r="L34" s="1342"/>
      <c r="M34" s="1342"/>
    </row>
  </sheetData>
  <mergeCells count="19">
    <mergeCell ref="N6:N8"/>
    <mergeCell ref="F7:F8"/>
    <mergeCell ref="G7:G8"/>
    <mergeCell ref="B25:L25"/>
    <mergeCell ref="I6:I8"/>
    <mergeCell ref="J6:J8"/>
    <mergeCell ref="K6:K8"/>
    <mergeCell ref="L6:L8"/>
    <mergeCell ref="M6:M8"/>
    <mergeCell ref="B1:I1"/>
    <mergeCell ref="B3:M3"/>
    <mergeCell ref="B4:M4"/>
    <mergeCell ref="A6:A8"/>
    <mergeCell ref="B6:B8"/>
    <mergeCell ref="C6:C8"/>
    <mergeCell ref="D6:D8"/>
    <mergeCell ref="E6:E8"/>
    <mergeCell ref="F6:G6"/>
    <mergeCell ref="H6:H8"/>
  </mergeCells>
  <printOptions horizontalCentered="1"/>
  <pageMargins left="0.25" right="0.25" top="0.54" bottom="0.18" header="0.17" footer="0.17"/>
  <pageSetup paperSize="5" scale="45" firstPageNumber="31" orientation="landscape" useFirstPageNumber="1" r:id="rId1"/>
  <headerFooter>
    <oddFooter>&amp;R&amp;P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W105"/>
  <sheetViews>
    <sheetView view="pageBreakPreview" zoomScale="90" zoomScaleNormal="85" zoomScaleSheetLayoutView="90" workbookViewId="0">
      <pane xSplit="2" ySplit="6" topLeftCell="J55" activePane="bottomRight" state="frozen"/>
      <selection activeCell="B3" sqref="B3:B5"/>
      <selection pane="topRight" activeCell="B3" sqref="B3:B5"/>
      <selection pane="bottomLeft" activeCell="B3" sqref="B3:B5"/>
      <selection pane="bottomRight" activeCell="I108" sqref="I108"/>
    </sheetView>
  </sheetViews>
  <sheetFormatPr defaultColWidth="12.5703125" defaultRowHeight="12.75"/>
  <cols>
    <col min="1" max="1" width="3.85546875" style="2" customWidth="1"/>
    <col min="2" max="2" width="20.85546875" style="2" customWidth="1"/>
    <col min="3" max="3" width="15.85546875" style="1" customWidth="1"/>
    <col min="4" max="4" width="18.85546875" style="1" customWidth="1"/>
    <col min="5" max="5" width="14.28515625" style="1" customWidth="1"/>
    <col min="6" max="6" width="17.85546875" style="1" customWidth="1"/>
    <col min="7" max="7" width="13.5703125" style="1" customWidth="1"/>
    <col min="8" max="8" width="15.5703125" style="640" hidden="1" customWidth="1"/>
    <col min="9" max="9" width="14.7109375" style="640" customWidth="1"/>
    <col min="10" max="10" width="15.140625" style="640" customWidth="1"/>
    <col min="11" max="11" width="13.5703125" style="1" customWidth="1"/>
    <col min="12" max="12" width="15.85546875" style="463" customWidth="1"/>
    <col min="13" max="13" width="12.5703125" style="1" customWidth="1"/>
    <col min="14" max="14" width="14.28515625" style="1" customWidth="1"/>
    <col min="15" max="15" width="10.5703125" style="1" bestFit="1" customWidth="1"/>
    <col min="16" max="16" width="13.7109375" style="1" bestFit="1" customWidth="1"/>
    <col min="17" max="17" width="16.85546875" style="1086" customWidth="1"/>
    <col min="18" max="18" width="14.42578125" style="1086" customWidth="1"/>
    <col min="19" max="19" width="10.85546875" style="1" bestFit="1" customWidth="1"/>
    <col min="20" max="20" width="12.5703125" style="2" customWidth="1"/>
    <col min="21" max="21" width="2.5703125" style="640" hidden="1" customWidth="1"/>
    <col min="22" max="22" width="37.85546875" style="640" hidden="1" customWidth="1"/>
    <col min="23" max="23" width="12.5703125" style="2" customWidth="1"/>
    <col min="24" max="16384" width="12.5703125" style="2"/>
  </cols>
  <sheetData>
    <row r="1" spans="1:23" ht="9" customHeight="1">
      <c r="B1" s="728"/>
      <c r="C1" s="729"/>
      <c r="D1" s="729"/>
    </row>
    <row r="2" spans="1:23" s="600" customFormat="1" ht="39.75" customHeight="1">
      <c r="A2" s="1796" t="s">
        <v>349</v>
      </c>
      <c r="B2" s="1797"/>
      <c r="C2" s="1808" t="s">
        <v>525</v>
      </c>
      <c r="D2" s="1809"/>
      <c r="E2" s="1809"/>
      <c r="F2" s="1809"/>
      <c r="G2" s="1809"/>
      <c r="H2" s="1809"/>
      <c r="I2" s="1809"/>
      <c r="J2" s="1809"/>
      <c r="K2" s="1810"/>
      <c r="L2" s="1811" t="s">
        <v>708</v>
      </c>
      <c r="M2" s="1812"/>
      <c r="N2" s="1812"/>
      <c r="O2" s="1812"/>
      <c r="P2" s="1812"/>
      <c r="Q2" s="1812"/>
      <c r="R2" s="1812"/>
      <c r="S2" s="1813"/>
      <c r="T2" s="1802" t="s">
        <v>707</v>
      </c>
      <c r="U2" s="598"/>
      <c r="V2" s="599"/>
      <c r="W2" s="1802" t="s">
        <v>654</v>
      </c>
    </row>
    <row r="3" spans="1:23" ht="101.25" customHeight="1">
      <c r="A3" s="1798"/>
      <c r="B3" s="1799"/>
      <c r="C3" s="1805" t="s">
        <v>972</v>
      </c>
      <c r="D3" s="1807" t="s">
        <v>745</v>
      </c>
      <c r="E3" s="601" t="s">
        <v>350</v>
      </c>
      <c r="F3" s="601" t="s">
        <v>351</v>
      </c>
      <c r="G3" s="1807" t="s">
        <v>704</v>
      </c>
      <c r="H3" s="602"/>
      <c r="I3" s="1706" t="s">
        <v>967</v>
      </c>
      <c r="J3" s="1706" t="s">
        <v>677</v>
      </c>
      <c r="K3" s="1807" t="s">
        <v>655</v>
      </c>
      <c r="L3" s="1818" t="s">
        <v>710</v>
      </c>
      <c r="M3" s="1815" t="s">
        <v>603</v>
      </c>
      <c r="N3" s="1815" t="s">
        <v>711</v>
      </c>
      <c r="O3" s="1815" t="s">
        <v>709</v>
      </c>
      <c r="P3" s="1815" t="s">
        <v>705</v>
      </c>
      <c r="Q3" s="1709" t="s">
        <v>967</v>
      </c>
      <c r="R3" s="1709" t="s">
        <v>706</v>
      </c>
      <c r="S3" s="1815" t="s">
        <v>681</v>
      </c>
      <c r="T3" s="1803"/>
      <c r="U3" s="602"/>
      <c r="V3" s="603"/>
      <c r="W3" s="1803"/>
    </row>
    <row r="4" spans="1:23" ht="36" customHeight="1">
      <c r="A4" s="1800"/>
      <c r="B4" s="1801"/>
      <c r="C4" s="1806"/>
      <c r="D4" s="1807"/>
      <c r="E4" s="604">
        <v>0.31638418079096048</v>
      </c>
      <c r="F4" s="605">
        <v>1470.3473918621949</v>
      </c>
      <c r="G4" s="1807"/>
      <c r="H4" s="602"/>
      <c r="I4" s="1707"/>
      <c r="J4" s="1707"/>
      <c r="K4" s="1807"/>
      <c r="L4" s="1819"/>
      <c r="M4" s="1816"/>
      <c r="N4" s="1816"/>
      <c r="O4" s="1816"/>
      <c r="P4" s="1816"/>
      <c r="Q4" s="1710"/>
      <c r="R4" s="1710"/>
      <c r="S4" s="1816"/>
      <c r="T4" s="1804"/>
      <c r="U4" s="602"/>
      <c r="V4" s="603"/>
      <c r="W4" s="1804"/>
    </row>
    <row r="5" spans="1:23" s="609" customFormat="1" ht="14.25" customHeight="1">
      <c r="A5" s="606"/>
      <c r="B5" s="607"/>
      <c r="C5" s="608">
        <v>1</v>
      </c>
      <c r="D5" s="608">
        <f t="shared" ref="D5:G5" si="0">C5+1</f>
        <v>2</v>
      </c>
      <c r="E5" s="608">
        <f t="shared" si="0"/>
        <v>3</v>
      </c>
      <c r="F5" s="608">
        <f t="shared" si="0"/>
        <v>4</v>
      </c>
      <c r="G5" s="608">
        <f t="shared" si="0"/>
        <v>5</v>
      </c>
      <c r="H5" s="608">
        <f t="shared" ref="H5" si="1">G5+1</f>
        <v>6</v>
      </c>
      <c r="I5" s="608">
        <f>G5+1</f>
        <v>6</v>
      </c>
      <c r="J5" s="608">
        <f t="shared" ref="J5" si="2">I5+1</f>
        <v>7</v>
      </c>
      <c r="K5" s="608">
        <f t="shared" ref="K5" si="3">J5+1</f>
        <v>8</v>
      </c>
      <c r="L5" s="608">
        <f t="shared" ref="L5" si="4">K5+1</f>
        <v>9</v>
      </c>
      <c r="M5" s="608">
        <f t="shared" ref="M5" si="5">L5+1</f>
        <v>10</v>
      </c>
      <c r="N5" s="608">
        <f t="shared" ref="N5" si="6">M5+1</f>
        <v>11</v>
      </c>
      <c r="O5" s="608">
        <f t="shared" ref="O5" si="7">N5+1</f>
        <v>12</v>
      </c>
      <c r="P5" s="608">
        <f t="shared" ref="P5" si="8">O5+1</f>
        <v>13</v>
      </c>
      <c r="Q5" s="608">
        <f t="shared" ref="Q5" si="9">P5+1</f>
        <v>14</v>
      </c>
      <c r="R5" s="608">
        <f t="shared" ref="R5" si="10">Q5+1</f>
        <v>15</v>
      </c>
      <c r="S5" s="608">
        <f t="shared" ref="S5" si="11">R5+1</f>
        <v>16</v>
      </c>
      <c r="T5" s="608">
        <f t="shared" ref="T5" si="12">S5+1</f>
        <v>17</v>
      </c>
      <c r="U5" s="608">
        <f t="shared" ref="U5" si="13">T5+1</f>
        <v>18</v>
      </c>
      <c r="V5" s="608">
        <f t="shared" ref="V5" si="14">U5+1</f>
        <v>19</v>
      </c>
      <c r="W5" s="608">
        <v>18</v>
      </c>
    </row>
    <row r="6" spans="1:23" s="617" customFormat="1" ht="27" customHeight="1">
      <c r="A6" s="610"/>
      <c r="B6" s="611"/>
      <c r="C6" s="612" t="s">
        <v>407</v>
      </c>
      <c r="D6" s="613" t="s">
        <v>352</v>
      </c>
      <c r="E6" s="612" t="s">
        <v>353</v>
      </c>
      <c r="F6" s="612" t="s">
        <v>354</v>
      </c>
      <c r="G6" s="612" t="s">
        <v>355</v>
      </c>
      <c r="H6" s="614"/>
      <c r="I6" s="612"/>
      <c r="J6" s="612" t="s">
        <v>458</v>
      </c>
      <c r="K6" s="612" t="s">
        <v>459</v>
      </c>
      <c r="L6" s="616" t="s">
        <v>352</v>
      </c>
      <c r="M6" s="613" t="s">
        <v>356</v>
      </c>
      <c r="N6" s="613" t="s">
        <v>493</v>
      </c>
      <c r="O6" s="613" t="s">
        <v>494</v>
      </c>
      <c r="P6" s="613" t="s">
        <v>495</v>
      </c>
      <c r="Q6" s="613"/>
      <c r="R6" s="613" t="s">
        <v>492</v>
      </c>
      <c r="S6" s="613" t="s">
        <v>491</v>
      </c>
      <c r="T6" s="613" t="s">
        <v>489</v>
      </c>
      <c r="U6" s="614"/>
      <c r="V6" s="615"/>
      <c r="W6" s="613" t="s">
        <v>490</v>
      </c>
    </row>
    <row r="7" spans="1:23">
      <c r="A7" s="618">
        <v>1</v>
      </c>
      <c r="B7" s="619" t="s">
        <v>93</v>
      </c>
      <c r="C7" s="620">
        <f>'[20]2012 Prelim Summary - 20130603'!E9</f>
        <v>2.2197360000000002</v>
      </c>
      <c r="D7" s="621">
        <f>'Table 3 Levels 1&amp;2'!AP8</f>
        <v>5375.0682673899437</v>
      </c>
      <c r="E7" s="621">
        <f t="shared" ref="E7:E70" si="15">D7*(1+$E$4)</f>
        <v>7075.654837863598</v>
      </c>
      <c r="F7" s="621">
        <f>E7+$F$4</f>
        <v>8546.0022297257929</v>
      </c>
      <c r="G7" s="622">
        <f>C7*F7</f>
        <v>18969.868805402613</v>
      </c>
      <c r="H7" s="623"/>
      <c r="I7" s="1087">
        <f>'[21]Oct midyear adj_OJJ'!$I6</f>
        <v>0</v>
      </c>
      <c r="J7" s="1095">
        <f>SUM(G7:I7)</f>
        <v>18969.868805402613</v>
      </c>
      <c r="K7" s="622">
        <f>ROUND(J7/12,0)</f>
        <v>1581</v>
      </c>
      <c r="L7" s="625">
        <f>'Table 3 Levels 1&amp;2'!AS8</f>
        <v>20575110</v>
      </c>
      <c r="M7" s="626">
        <f>'Table 3 Levels 1&amp;2'!C8</f>
        <v>9586</v>
      </c>
      <c r="N7" s="626">
        <f>C7+M7</f>
        <v>9588.2197359999991</v>
      </c>
      <c r="O7" s="627">
        <f>L7/N7</f>
        <v>2145.8738500483614</v>
      </c>
      <c r="P7" s="628">
        <f>C7*O7</f>
        <v>4763.2734364109501</v>
      </c>
      <c r="Q7" s="1096">
        <f>'[21]Oct midyear adj_OJJ'!$K6</f>
        <v>0</v>
      </c>
      <c r="R7" s="628">
        <f>SUM(P7:Q7)</f>
        <v>4763.2734364109501</v>
      </c>
      <c r="S7" s="628">
        <f>ROUND(R7/12,0)</f>
        <v>397</v>
      </c>
      <c r="T7" s="629">
        <f>G7+P7</f>
        <v>23733.142241813563</v>
      </c>
      <c r="U7" s="623"/>
      <c r="V7" s="624"/>
      <c r="W7" s="629">
        <f>K7+S7</f>
        <v>1978</v>
      </c>
    </row>
    <row r="8" spans="1:23">
      <c r="A8" s="630">
        <v>2</v>
      </c>
      <c r="B8" s="631" t="s">
        <v>94</v>
      </c>
      <c r="C8" s="632">
        <f>'[20]2012 Prelim Summary - 20130603'!E10</f>
        <v>0</v>
      </c>
      <c r="D8" s="633">
        <f>'Table 3 Levels 1&amp;2'!AP9</f>
        <v>7024.7513545138372</v>
      </c>
      <c r="E8" s="633">
        <f t="shared" si="15"/>
        <v>9247.2715570718865</v>
      </c>
      <c r="F8" s="633">
        <f t="shared" ref="F8:F71" si="16">E8+$F$4</f>
        <v>10717.618948934081</v>
      </c>
      <c r="G8" s="634">
        <f t="shared" ref="G8:G71" si="17">C8*F8</f>
        <v>0</v>
      </c>
      <c r="H8" s="623"/>
      <c r="I8" s="1088">
        <f>'[21]Oct midyear adj_OJJ'!$I7</f>
        <v>0</v>
      </c>
      <c r="J8" s="634">
        <f t="shared" ref="J8:J71" si="18">SUM(G8:I8)</f>
        <v>0</v>
      </c>
      <c r="K8" s="634">
        <f t="shared" ref="K8:K71" si="19">ROUND(J8/12,0)</f>
        <v>0</v>
      </c>
      <c r="L8" s="625">
        <f>'Table 3 Levels 1&amp;2'!AS9</f>
        <v>10744736</v>
      </c>
      <c r="M8" s="635">
        <f>'Table 3 Levels 1&amp;2'!C9</f>
        <v>4083</v>
      </c>
      <c r="N8" s="635">
        <f t="shared" ref="N8:N71" si="20">C8+M8</f>
        <v>4083</v>
      </c>
      <c r="O8" s="636">
        <f t="shared" ref="O8:O71" si="21">L8/N8</f>
        <v>2631.5787411217243</v>
      </c>
      <c r="P8" s="637">
        <f t="shared" ref="P8:P71" si="22">C8*O8</f>
        <v>0</v>
      </c>
      <c r="Q8" s="1097">
        <f>'[21]Oct midyear adj_OJJ'!$K7</f>
        <v>0</v>
      </c>
      <c r="R8" s="637">
        <f t="shared" ref="R8:R71" si="23">SUM(P8:Q8)</f>
        <v>0</v>
      </c>
      <c r="S8" s="637">
        <f t="shared" ref="S8:S71" si="24">ROUND(R8/12,0)</f>
        <v>0</v>
      </c>
      <c r="T8" s="638">
        <f t="shared" ref="T8:T71" si="25">G8+P8</f>
        <v>0</v>
      </c>
      <c r="U8" s="623"/>
      <c r="V8" s="624"/>
      <c r="W8" s="638">
        <f t="shared" ref="W8:W71" si="26">K8+S8</f>
        <v>0</v>
      </c>
    </row>
    <row r="9" spans="1:23" ht="12.75" customHeight="1">
      <c r="A9" s="630">
        <v>3</v>
      </c>
      <c r="B9" s="631" t="s">
        <v>95</v>
      </c>
      <c r="C9" s="632">
        <f>'[20]2012 Prelim Summary - 20130603'!E11</f>
        <v>1.3320000000000001</v>
      </c>
      <c r="D9" s="633">
        <f>'Table 3 Levels 1&amp;2'!AP10</f>
        <v>4803.5507376853611</v>
      </c>
      <c r="E9" s="633">
        <f t="shared" si="15"/>
        <v>6323.3182027157582</v>
      </c>
      <c r="F9" s="633">
        <f t="shared" si="16"/>
        <v>7793.665594577953</v>
      </c>
      <c r="G9" s="634">
        <f t="shared" si="17"/>
        <v>10381.162571977835</v>
      </c>
      <c r="H9" s="639" t="s">
        <v>238</v>
      </c>
      <c r="I9" s="1088">
        <f>'[21]Oct midyear adj_OJJ'!$I8</f>
        <v>0</v>
      </c>
      <c r="J9" s="634">
        <f t="shared" si="18"/>
        <v>10381.162571977835</v>
      </c>
      <c r="K9" s="634">
        <f t="shared" si="19"/>
        <v>865</v>
      </c>
      <c r="L9" s="625">
        <f>'Table 3 Levels 1&amp;2'!AS10</f>
        <v>70444431.719999999</v>
      </c>
      <c r="M9" s="635">
        <f>'Table 3 Levels 1&amp;2'!C10</f>
        <v>20592</v>
      </c>
      <c r="N9" s="635">
        <f t="shared" si="20"/>
        <v>20593.331999999999</v>
      </c>
      <c r="O9" s="636">
        <f t="shared" si="21"/>
        <v>3420.7398647290302</v>
      </c>
      <c r="P9" s="637">
        <f t="shared" si="22"/>
        <v>4556.4254998190681</v>
      </c>
      <c r="Q9" s="1097">
        <f>'[21]Oct midyear adj_OJJ'!$K8</f>
        <v>0</v>
      </c>
      <c r="R9" s="637">
        <f t="shared" si="23"/>
        <v>4556.4254998190681</v>
      </c>
      <c r="S9" s="637">
        <f t="shared" si="24"/>
        <v>380</v>
      </c>
      <c r="T9" s="638">
        <f t="shared" si="25"/>
        <v>14937.588071796903</v>
      </c>
      <c r="U9" s="639" t="s">
        <v>238</v>
      </c>
      <c r="V9" s="1817" t="s">
        <v>357</v>
      </c>
      <c r="W9" s="638">
        <f t="shared" si="26"/>
        <v>1245</v>
      </c>
    </row>
    <row r="10" spans="1:23" ht="12.75" customHeight="1">
      <c r="A10" s="630">
        <v>4</v>
      </c>
      <c r="B10" s="631" t="s">
        <v>96</v>
      </c>
      <c r="C10" s="632">
        <f>'[20]2012 Prelim Summary - 20130603'!E12</f>
        <v>0</v>
      </c>
      <c r="D10" s="633">
        <f>'Table 3 Levels 1&amp;2'!AP11</f>
        <v>6573.2593535453216</v>
      </c>
      <c r="E10" s="633">
        <f t="shared" si="15"/>
        <v>8652.9346292432765</v>
      </c>
      <c r="F10" s="633">
        <f t="shared" si="16"/>
        <v>10123.282021105471</v>
      </c>
      <c r="G10" s="634">
        <f t="shared" si="17"/>
        <v>0</v>
      </c>
      <c r="I10" s="1088">
        <f>'[21]Oct midyear adj_OJJ'!$I9</f>
        <v>0</v>
      </c>
      <c r="J10" s="634">
        <f t="shared" si="18"/>
        <v>0</v>
      </c>
      <c r="K10" s="634">
        <f t="shared" si="19"/>
        <v>0</v>
      </c>
      <c r="L10" s="625">
        <f>'Table 3 Levels 1&amp;2'!AS11</f>
        <v>11322531.220000001</v>
      </c>
      <c r="M10" s="635">
        <f>'Table 3 Levels 1&amp;2'!C11</f>
        <v>3551</v>
      </c>
      <c r="N10" s="635">
        <f t="shared" si="20"/>
        <v>3551</v>
      </c>
      <c r="O10" s="636">
        <f t="shared" si="21"/>
        <v>3188.5472317657</v>
      </c>
      <c r="P10" s="637">
        <f t="shared" si="22"/>
        <v>0</v>
      </c>
      <c r="Q10" s="1097">
        <f>'[21]Oct midyear adj_OJJ'!$K9</f>
        <v>0</v>
      </c>
      <c r="R10" s="637">
        <f t="shared" si="23"/>
        <v>0</v>
      </c>
      <c r="S10" s="637">
        <f t="shared" si="24"/>
        <v>0</v>
      </c>
      <c r="T10" s="638">
        <f t="shared" si="25"/>
        <v>0</v>
      </c>
      <c r="V10" s="1817"/>
      <c r="W10" s="638">
        <f t="shared" si="26"/>
        <v>0</v>
      </c>
    </row>
    <row r="11" spans="1:23">
      <c r="A11" s="641">
        <v>5</v>
      </c>
      <c r="B11" s="642" t="s">
        <v>97</v>
      </c>
      <c r="C11" s="643">
        <f>'[20]2012 Prelim Summary - 20130603'!E13</f>
        <v>2.502402</v>
      </c>
      <c r="D11" s="644">
        <f>'Table 3 Levels 1&amp;2'!AP12</f>
        <v>5542.7266927080072</v>
      </c>
      <c r="E11" s="644">
        <f t="shared" si="15"/>
        <v>7296.3577367286198</v>
      </c>
      <c r="F11" s="644">
        <f t="shared" si="16"/>
        <v>8766.7051285908146</v>
      </c>
      <c r="G11" s="645">
        <f t="shared" si="17"/>
        <v>21937.820447195911</v>
      </c>
      <c r="H11" s="624"/>
      <c r="I11" s="1089">
        <f>'[21]Oct midyear adj_OJJ'!$I10</f>
        <v>0</v>
      </c>
      <c r="J11" s="645">
        <f t="shared" si="18"/>
        <v>21937.820447195911</v>
      </c>
      <c r="K11" s="645">
        <f t="shared" si="19"/>
        <v>1828</v>
      </c>
      <c r="L11" s="647">
        <f>'Table 3 Levels 1&amp;2'!AS12</f>
        <v>8911093.5</v>
      </c>
      <c r="M11" s="648">
        <f>'Table 3 Levels 1&amp;2'!C12</f>
        <v>5757</v>
      </c>
      <c r="N11" s="648">
        <f t="shared" si="20"/>
        <v>5759.5024020000001</v>
      </c>
      <c r="O11" s="649">
        <f t="shared" si="21"/>
        <v>1547.198503972427</v>
      </c>
      <c r="P11" s="650">
        <f t="shared" si="22"/>
        <v>3871.7126307376093</v>
      </c>
      <c r="Q11" s="1098">
        <f>'[21]Oct midyear adj_OJJ'!$K10</f>
        <v>0</v>
      </c>
      <c r="R11" s="650">
        <f t="shared" si="23"/>
        <v>3871.7126307376093</v>
      </c>
      <c r="S11" s="650">
        <f t="shared" si="24"/>
        <v>323</v>
      </c>
      <c r="T11" s="651">
        <f t="shared" si="25"/>
        <v>25809.53307793352</v>
      </c>
      <c r="U11" s="624"/>
      <c r="V11" s="646"/>
      <c r="W11" s="651">
        <f t="shared" si="26"/>
        <v>2151</v>
      </c>
    </row>
    <row r="12" spans="1:23" ht="12.75" customHeight="1">
      <c r="A12" s="618">
        <v>6</v>
      </c>
      <c r="B12" s="619" t="s">
        <v>98</v>
      </c>
      <c r="C12" s="620">
        <f>'[20]2012 Prelim Summary - 20130603'!E14</f>
        <v>2.170404</v>
      </c>
      <c r="D12" s="621">
        <f>'Table 3 Levels 1&amp;2'!AP13</f>
        <v>5958.2683404260588</v>
      </c>
      <c r="E12" s="621">
        <f t="shared" si="15"/>
        <v>7843.370188244473</v>
      </c>
      <c r="F12" s="621">
        <f t="shared" si="16"/>
        <v>9313.7175801066678</v>
      </c>
      <c r="G12" s="622">
        <f t="shared" si="17"/>
        <v>20214.529890733833</v>
      </c>
      <c r="H12" s="623" t="s">
        <v>358</v>
      </c>
      <c r="I12" s="1087">
        <f>'[21]Oct midyear adj_OJJ'!$I11</f>
        <v>0</v>
      </c>
      <c r="J12" s="622">
        <f t="shared" si="18"/>
        <v>20214.529890733833</v>
      </c>
      <c r="K12" s="622">
        <f t="shared" si="19"/>
        <v>1685</v>
      </c>
      <c r="L12" s="625">
        <f>'Table 3 Levels 1&amp;2'!AS13</f>
        <v>19066110.02</v>
      </c>
      <c r="M12" s="626">
        <f>'Table 3 Levels 1&amp;2'!C13</f>
        <v>6057</v>
      </c>
      <c r="N12" s="626">
        <f t="shared" si="20"/>
        <v>6059.1704040000004</v>
      </c>
      <c r="O12" s="627">
        <f t="shared" si="21"/>
        <v>3146.6535431011125</v>
      </c>
      <c r="P12" s="628">
        <f t="shared" si="22"/>
        <v>6829.5094365608275</v>
      </c>
      <c r="Q12" s="1096">
        <f>'[21]Oct midyear adj_OJJ'!$K11</f>
        <v>0</v>
      </c>
      <c r="R12" s="628">
        <f t="shared" si="23"/>
        <v>6829.5094365608275</v>
      </c>
      <c r="S12" s="628">
        <f t="shared" si="24"/>
        <v>569</v>
      </c>
      <c r="T12" s="629">
        <f t="shared" si="25"/>
        <v>27044.03932729466</v>
      </c>
      <c r="U12" s="623" t="s">
        <v>358</v>
      </c>
      <c r="V12" s="1814" t="s">
        <v>359</v>
      </c>
      <c r="W12" s="629">
        <f t="shared" si="26"/>
        <v>2254</v>
      </c>
    </row>
    <row r="13" spans="1:23">
      <c r="A13" s="630">
        <v>7</v>
      </c>
      <c r="B13" s="631" t="s">
        <v>99</v>
      </c>
      <c r="C13" s="632">
        <f>'[20]2012 Prelim Summary - 20130603'!E15</f>
        <v>0.28415299999999999</v>
      </c>
      <c r="D13" s="633">
        <f>'Table 3 Levels 1&amp;2'!AP14</f>
        <v>2523.0223604176122</v>
      </c>
      <c r="E13" s="633">
        <f t="shared" si="15"/>
        <v>3321.2667230356137</v>
      </c>
      <c r="F13" s="633">
        <f t="shared" si="16"/>
        <v>4791.6141148978086</v>
      </c>
      <c r="G13" s="634">
        <f t="shared" si="17"/>
        <v>1361.551525590557</v>
      </c>
      <c r="H13" s="623"/>
      <c r="I13" s="1088">
        <f>'[21]Oct midyear adj_OJJ'!$I12</f>
        <v>0</v>
      </c>
      <c r="J13" s="634">
        <f t="shared" si="18"/>
        <v>1361.551525590557</v>
      </c>
      <c r="K13" s="634">
        <f t="shared" si="19"/>
        <v>113</v>
      </c>
      <c r="L13" s="625">
        <f>'Table 3 Levels 1&amp;2'!AS14</f>
        <v>13141950.02</v>
      </c>
      <c r="M13" s="635">
        <f>'Table 3 Levels 1&amp;2'!C14</f>
        <v>2203</v>
      </c>
      <c r="N13" s="635">
        <f t="shared" si="20"/>
        <v>2203.2841530000001</v>
      </c>
      <c r="O13" s="636">
        <f t="shared" si="21"/>
        <v>5964.7095460228638</v>
      </c>
      <c r="P13" s="637">
        <f t="shared" si="22"/>
        <v>1694.8901116310349</v>
      </c>
      <c r="Q13" s="1097">
        <f>'[21]Oct midyear adj_OJJ'!$K12</f>
        <v>0</v>
      </c>
      <c r="R13" s="637">
        <f t="shared" si="23"/>
        <v>1694.8901116310349</v>
      </c>
      <c r="S13" s="637">
        <f t="shared" si="24"/>
        <v>141</v>
      </c>
      <c r="T13" s="638">
        <f t="shared" si="25"/>
        <v>3056.4416372215919</v>
      </c>
      <c r="U13" s="623"/>
      <c r="V13" s="1814"/>
      <c r="W13" s="638">
        <f t="shared" si="26"/>
        <v>254</v>
      </c>
    </row>
    <row r="14" spans="1:23">
      <c r="A14" s="630">
        <v>8</v>
      </c>
      <c r="B14" s="631" t="s">
        <v>100</v>
      </c>
      <c r="C14" s="632">
        <f>'[20]2012 Prelim Summary - 20130603'!E16</f>
        <v>5.9114969999999998</v>
      </c>
      <c r="D14" s="633">
        <f>'Table 3 Levels 1&amp;2'!AP15</f>
        <v>5015.2673606712342</v>
      </c>
      <c r="E14" s="633">
        <f t="shared" si="15"/>
        <v>6602.018616024845</v>
      </c>
      <c r="F14" s="633">
        <f t="shared" si="16"/>
        <v>8072.3660078870398</v>
      </c>
      <c r="G14" s="634">
        <f t="shared" si="17"/>
        <v>47719.767438526207</v>
      </c>
      <c r="H14" s="623"/>
      <c r="I14" s="1088">
        <f>'[21]Oct midyear adj_OJJ'!$I13</f>
        <v>0</v>
      </c>
      <c r="J14" s="634">
        <f t="shared" si="18"/>
        <v>47719.767438526207</v>
      </c>
      <c r="K14" s="634">
        <f t="shared" si="19"/>
        <v>3977</v>
      </c>
      <c r="L14" s="625">
        <f>'Table 3 Levels 1&amp;2'!AS15</f>
        <v>72897626.780000001</v>
      </c>
      <c r="M14" s="635">
        <f>'Table 3 Levels 1&amp;2'!C15</f>
        <v>21190</v>
      </c>
      <c r="N14" s="635">
        <f t="shared" si="20"/>
        <v>21195.911497000001</v>
      </c>
      <c r="O14" s="636">
        <f t="shared" si="21"/>
        <v>3439.2305700237375</v>
      </c>
      <c r="P14" s="637">
        <f t="shared" si="22"/>
        <v>20331.001197003614</v>
      </c>
      <c r="Q14" s="1097">
        <f>'[21]Oct midyear adj_OJJ'!$K13</f>
        <v>0</v>
      </c>
      <c r="R14" s="637">
        <f t="shared" si="23"/>
        <v>20331.001197003614</v>
      </c>
      <c r="S14" s="637">
        <f t="shared" si="24"/>
        <v>1694</v>
      </c>
      <c r="T14" s="638">
        <f t="shared" si="25"/>
        <v>68050.768635529821</v>
      </c>
      <c r="U14" s="623"/>
      <c r="V14" s="1814"/>
      <c r="W14" s="638">
        <f t="shared" si="26"/>
        <v>5671</v>
      </c>
    </row>
    <row r="15" spans="1:23">
      <c r="A15" s="630">
        <v>9</v>
      </c>
      <c r="B15" s="631" t="s">
        <v>101</v>
      </c>
      <c r="C15" s="632">
        <f>'[20]2012 Prelim Summary - 20130603'!E17</f>
        <v>29.116192999999999</v>
      </c>
      <c r="D15" s="633">
        <f>'Table 3 Levels 1&amp;2'!AP16</f>
        <v>5140.375451688933</v>
      </c>
      <c r="E15" s="633">
        <f t="shared" si="15"/>
        <v>6766.7089279294996</v>
      </c>
      <c r="F15" s="633">
        <f t="shared" si="16"/>
        <v>8237.0563197916945</v>
      </c>
      <c r="G15" s="634">
        <f t="shared" si="17"/>
        <v>239831.72155892468</v>
      </c>
      <c r="H15" s="623"/>
      <c r="I15" s="1088">
        <v>0</v>
      </c>
      <c r="J15" s="634">
        <f t="shared" si="18"/>
        <v>239831.72155892468</v>
      </c>
      <c r="K15" s="634">
        <f t="shared" si="19"/>
        <v>19986</v>
      </c>
      <c r="L15" s="625">
        <f>'Table 3 Levels 1&amp;2'!AS16</f>
        <v>140400178.03999999</v>
      </c>
      <c r="M15" s="635">
        <f>'Table 3 Levels 1&amp;2'!C16</f>
        <v>40876</v>
      </c>
      <c r="N15" s="635">
        <f t="shared" si="20"/>
        <v>40905.116193000002</v>
      </c>
      <c r="O15" s="636">
        <f t="shared" si="21"/>
        <v>3432.3378370949686</v>
      </c>
      <c r="P15" s="637">
        <f t="shared" si="22"/>
        <v>99936.610906059665</v>
      </c>
      <c r="Q15" s="1097">
        <v>0</v>
      </c>
      <c r="R15" s="637">
        <f t="shared" si="23"/>
        <v>99936.610906059665</v>
      </c>
      <c r="S15" s="637">
        <f t="shared" si="24"/>
        <v>8328</v>
      </c>
      <c r="T15" s="638">
        <f t="shared" si="25"/>
        <v>339768.33246498433</v>
      </c>
      <c r="U15" s="623"/>
      <c r="W15" s="638">
        <f t="shared" si="26"/>
        <v>28314</v>
      </c>
    </row>
    <row r="16" spans="1:23">
      <c r="A16" s="641">
        <v>10</v>
      </c>
      <c r="B16" s="642" t="s">
        <v>102</v>
      </c>
      <c r="C16" s="643">
        <f>'[20]2012 Prelim Summary - 20130603'!E18</f>
        <v>11.446312000000001</v>
      </c>
      <c r="D16" s="644">
        <f>'Table 3 Levels 1&amp;2'!AP17</f>
        <v>4861.6380618992443</v>
      </c>
      <c r="E16" s="644">
        <f t="shared" si="15"/>
        <v>6399.783437415389</v>
      </c>
      <c r="F16" s="644">
        <f t="shared" si="16"/>
        <v>7870.1308292775839</v>
      </c>
      <c r="G16" s="645">
        <f t="shared" si="17"/>
        <v>90083.972952729964</v>
      </c>
      <c r="H16" s="624"/>
      <c r="I16" s="1089">
        <v>0</v>
      </c>
      <c r="J16" s="645">
        <f t="shared" si="18"/>
        <v>90083.972952729964</v>
      </c>
      <c r="K16" s="645">
        <f t="shared" si="19"/>
        <v>7507</v>
      </c>
      <c r="L16" s="647">
        <f>'Table 3 Levels 1&amp;2'!AS17</f>
        <v>122532271.59999999</v>
      </c>
      <c r="M16" s="648">
        <f>'Table 3 Levels 1&amp;2'!C17</f>
        <v>32046</v>
      </c>
      <c r="N16" s="648">
        <f t="shared" si="20"/>
        <v>32057.446312</v>
      </c>
      <c r="O16" s="649">
        <f t="shared" si="21"/>
        <v>3822.2717557553151</v>
      </c>
      <c r="P16" s="650">
        <f t="shared" si="22"/>
        <v>43750.915065163135</v>
      </c>
      <c r="Q16" s="1098">
        <v>0</v>
      </c>
      <c r="R16" s="650">
        <f t="shared" si="23"/>
        <v>43750.915065163135</v>
      </c>
      <c r="S16" s="650">
        <f t="shared" si="24"/>
        <v>3646</v>
      </c>
      <c r="T16" s="651">
        <f t="shared" si="25"/>
        <v>133834.8880178931</v>
      </c>
      <c r="U16" s="624"/>
      <c r="V16" s="1817"/>
      <c r="W16" s="651">
        <f t="shared" si="26"/>
        <v>11153</v>
      </c>
    </row>
    <row r="17" spans="1:23">
      <c r="A17" s="618">
        <v>11</v>
      </c>
      <c r="B17" s="619" t="s">
        <v>103</v>
      </c>
      <c r="C17" s="620">
        <f>'[20]2012 Prelim Summary - 20130603'!E19</f>
        <v>0</v>
      </c>
      <c r="D17" s="621">
        <f>'Table 3 Levels 1&amp;2'!AP18</f>
        <v>7559.4638435383504</v>
      </c>
      <c r="E17" s="621">
        <f t="shared" si="15"/>
        <v>9951.1586188951169</v>
      </c>
      <c r="F17" s="621">
        <f t="shared" si="16"/>
        <v>11421.506010757312</v>
      </c>
      <c r="G17" s="622">
        <f t="shared" si="17"/>
        <v>0</v>
      </c>
      <c r="H17" s="623"/>
      <c r="I17" s="1087">
        <f>'[21]Oct midyear adj_OJJ'!$I16</f>
        <v>0</v>
      </c>
      <c r="J17" s="622">
        <f t="shared" si="18"/>
        <v>0</v>
      </c>
      <c r="K17" s="622">
        <f t="shared" si="19"/>
        <v>0</v>
      </c>
      <c r="L17" s="625">
        <f>'Table 3 Levels 1&amp;2'!AS18</f>
        <v>5014759.26</v>
      </c>
      <c r="M17" s="626">
        <f>'Table 3 Levels 1&amp;2'!C18</f>
        <v>1552</v>
      </c>
      <c r="N17" s="626">
        <f t="shared" si="20"/>
        <v>1552</v>
      </c>
      <c r="O17" s="627">
        <f t="shared" si="21"/>
        <v>3231.1593170103092</v>
      </c>
      <c r="P17" s="628">
        <f t="shared" si="22"/>
        <v>0</v>
      </c>
      <c r="Q17" s="1096">
        <f>'[21]Oct midyear adj_OJJ'!$K16</f>
        <v>0</v>
      </c>
      <c r="R17" s="628">
        <f t="shared" si="23"/>
        <v>0</v>
      </c>
      <c r="S17" s="628">
        <f t="shared" si="24"/>
        <v>0</v>
      </c>
      <c r="T17" s="629">
        <f t="shared" si="25"/>
        <v>0</v>
      </c>
      <c r="U17" s="623"/>
      <c r="V17" s="1817"/>
      <c r="W17" s="629">
        <f t="shared" si="26"/>
        <v>0</v>
      </c>
    </row>
    <row r="18" spans="1:23">
      <c r="A18" s="630">
        <v>12</v>
      </c>
      <c r="B18" s="631" t="s">
        <v>104</v>
      </c>
      <c r="C18" s="632">
        <f>'[20]2012 Prelim Summary - 20130603'!E20</f>
        <v>0</v>
      </c>
      <c r="D18" s="633">
        <f>'Table 3 Levels 1&amp;2'!AP19</f>
        <v>2797.2156059356967</v>
      </c>
      <c r="E18" s="633">
        <f t="shared" si="15"/>
        <v>3682.2103739153522</v>
      </c>
      <c r="F18" s="633">
        <f t="shared" si="16"/>
        <v>5152.5577657775466</v>
      </c>
      <c r="G18" s="634">
        <f t="shared" si="17"/>
        <v>0</v>
      </c>
      <c r="H18" s="623"/>
      <c r="I18" s="1088">
        <f>'[21]Oct midyear adj_OJJ'!$I17</f>
        <v>0</v>
      </c>
      <c r="J18" s="634">
        <f t="shared" si="18"/>
        <v>0</v>
      </c>
      <c r="K18" s="634">
        <f t="shared" si="19"/>
        <v>0</v>
      </c>
      <c r="L18" s="625">
        <f>'Table 3 Levels 1&amp;2'!AS19</f>
        <v>7656832.1200000001</v>
      </c>
      <c r="M18" s="635">
        <f>'Table 3 Levels 1&amp;2'!C19</f>
        <v>1213</v>
      </c>
      <c r="N18" s="635">
        <f t="shared" si="20"/>
        <v>1213</v>
      </c>
      <c r="O18" s="636">
        <f t="shared" si="21"/>
        <v>6312.310074196208</v>
      </c>
      <c r="P18" s="637">
        <f t="shared" si="22"/>
        <v>0</v>
      </c>
      <c r="Q18" s="1097">
        <f>'[21]Oct midyear adj_OJJ'!$K17</f>
        <v>0</v>
      </c>
      <c r="R18" s="637">
        <f t="shared" si="23"/>
        <v>0</v>
      </c>
      <c r="S18" s="637">
        <f t="shared" si="24"/>
        <v>0</v>
      </c>
      <c r="T18" s="638">
        <f t="shared" si="25"/>
        <v>0</v>
      </c>
      <c r="U18" s="623"/>
      <c r="V18" s="1817"/>
      <c r="W18" s="638">
        <f t="shared" si="26"/>
        <v>0</v>
      </c>
    </row>
    <row r="19" spans="1:23">
      <c r="A19" s="630">
        <v>13</v>
      </c>
      <c r="B19" s="631" t="s">
        <v>105</v>
      </c>
      <c r="C19" s="632">
        <f>'[20]2012 Prelim Summary - 20130603'!E21</f>
        <v>0</v>
      </c>
      <c r="D19" s="633">
        <f>'Table 3 Levels 1&amp;2'!AP20</f>
        <v>7003.5538637730879</v>
      </c>
      <c r="E19" s="633">
        <f t="shared" si="15"/>
        <v>9219.3675155883011</v>
      </c>
      <c r="F19" s="633">
        <f t="shared" si="16"/>
        <v>10689.714907450496</v>
      </c>
      <c r="G19" s="634">
        <f t="shared" si="17"/>
        <v>0</v>
      </c>
      <c r="H19" s="623"/>
      <c r="I19" s="1088">
        <f>'[21]Oct midyear adj_OJJ'!$I18</f>
        <v>0</v>
      </c>
      <c r="J19" s="634">
        <f t="shared" si="18"/>
        <v>0</v>
      </c>
      <c r="K19" s="634">
        <f t="shared" si="19"/>
        <v>0</v>
      </c>
      <c r="L19" s="625">
        <f>'Table 3 Levels 1&amp;2'!AS20</f>
        <v>3834794.5</v>
      </c>
      <c r="M19" s="635">
        <f>'Table 3 Levels 1&amp;2'!C20</f>
        <v>1516</v>
      </c>
      <c r="N19" s="635">
        <f t="shared" si="20"/>
        <v>1516</v>
      </c>
      <c r="O19" s="636">
        <f t="shared" si="21"/>
        <v>2529.5478232189976</v>
      </c>
      <c r="P19" s="637">
        <f t="shared" si="22"/>
        <v>0</v>
      </c>
      <c r="Q19" s="1097">
        <f>'[21]Oct midyear adj_OJJ'!$K18</f>
        <v>0</v>
      </c>
      <c r="R19" s="637">
        <f t="shared" si="23"/>
        <v>0</v>
      </c>
      <c r="S19" s="637">
        <f t="shared" si="24"/>
        <v>0</v>
      </c>
      <c r="T19" s="638">
        <f t="shared" si="25"/>
        <v>0</v>
      </c>
      <c r="U19" s="623"/>
      <c r="V19" s="652" t="s">
        <v>360</v>
      </c>
      <c r="W19" s="638">
        <f t="shared" si="26"/>
        <v>0</v>
      </c>
    </row>
    <row r="20" spans="1:23" ht="12.75" customHeight="1">
      <c r="A20" s="630">
        <v>14</v>
      </c>
      <c r="B20" s="631" t="s">
        <v>106</v>
      </c>
      <c r="C20" s="632">
        <f>'[20]2012 Prelim Summary - 20130603'!E22</f>
        <v>0.84399999999999997</v>
      </c>
      <c r="D20" s="633">
        <f>'Table 3 Levels 1&amp;2'!AP21</f>
        <v>6187.8987438545455</v>
      </c>
      <c r="E20" s="633">
        <f t="shared" si="15"/>
        <v>8145.6520187463793</v>
      </c>
      <c r="F20" s="633">
        <f t="shared" si="16"/>
        <v>9615.9994106085742</v>
      </c>
      <c r="G20" s="634">
        <f t="shared" si="17"/>
        <v>8115.9035025536359</v>
      </c>
      <c r="H20" s="623"/>
      <c r="I20" s="1088">
        <f>'[21]Oct midyear adj_OJJ'!$I19</f>
        <v>0</v>
      </c>
      <c r="J20" s="634">
        <f t="shared" si="18"/>
        <v>8115.9035025536359</v>
      </c>
      <c r="K20" s="634">
        <f t="shared" si="19"/>
        <v>676</v>
      </c>
      <c r="L20" s="625">
        <f>'Table 3 Levels 1&amp;2'!AS21</f>
        <v>7570178</v>
      </c>
      <c r="M20" s="635">
        <f>'Table 3 Levels 1&amp;2'!C21</f>
        <v>1870</v>
      </c>
      <c r="N20" s="635">
        <f t="shared" si="20"/>
        <v>1870.8440000000001</v>
      </c>
      <c r="O20" s="636">
        <f t="shared" si="21"/>
        <v>4046.3972410313204</v>
      </c>
      <c r="P20" s="637">
        <f t="shared" si="22"/>
        <v>3415.1592714304343</v>
      </c>
      <c r="Q20" s="1097">
        <f>'[21]Oct midyear adj_OJJ'!$K19</f>
        <v>0</v>
      </c>
      <c r="R20" s="637">
        <f t="shared" si="23"/>
        <v>3415.1592714304343</v>
      </c>
      <c r="S20" s="637">
        <f t="shared" si="24"/>
        <v>285</v>
      </c>
      <c r="T20" s="638">
        <f t="shared" si="25"/>
        <v>11531.062773984071</v>
      </c>
      <c r="U20" s="623"/>
      <c r="V20" s="1814" t="s">
        <v>361</v>
      </c>
      <c r="W20" s="638">
        <f t="shared" si="26"/>
        <v>961</v>
      </c>
    </row>
    <row r="21" spans="1:23">
      <c r="A21" s="641">
        <v>15</v>
      </c>
      <c r="B21" s="642" t="s">
        <v>107</v>
      </c>
      <c r="C21" s="643">
        <f>'[20]2012 Prelim Summary - 20130603'!E23</f>
        <v>0.65200000000000002</v>
      </c>
      <c r="D21" s="644">
        <f>'Table 3 Levels 1&amp;2'!AP22</f>
        <v>6081.5651197617854</v>
      </c>
      <c r="E21" s="644">
        <f t="shared" si="15"/>
        <v>8005.6761181044967</v>
      </c>
      <c r="F21" s="644">
        <f t="shared" si="16"/>
        <v>9476.0235099666916</v>
      </c>
      <c r="G21" s="645">
        <f t="shared" si="17"/>
        <v>6178.3673284982833</v>
      </c>
      <c r="H21" s="624"/>
      <c r="I21" s="1089">
        <f>'[21]Oct midyear adj_OJJ'!$I20</f>
        <v>0</v>
      </c>
      <c r="J21" s="645">
        <f t="shared" si="18"/>
        <v>6178.3673284982833</v>
      </c>
      <c r="K21" s="645">
        <f t="shared" si="19"/>
        <v>515</v>
      </c>
      <c r="L21" s="647">
        <f>'Table 3 Levels 1&amp;2'!AS22</f>
        <v>10198332</v>
      </c>
      <c r="M21" s="648">
        <f>'Table 3 Levels 1&amp;2'!C22</f>
        <v>3627</v>
      </c>
      <c r="N21" s="648">
        <f t="shared" si="20"/>
        <v>3627.652</v>
      </c>
      <c r="O21" s="649">
        <f t="shared" si="21"/>
        <v>2811.2762745709897</v>
      </c>
      <c r="P21" s="650">
        <f t="shared" si="22"/>
        <v>1832.9521310202854</v>
      </c>
      <c r="Q21" s="1098">
        <f>'[21]Oct midyear adj_OJJ'!$K20</f>
        <v>0</v>
      </c>
      <c r="R21" s="650">
        <f t="shared" si="23"/>
        <v>1832.9521310202854</v>
      </c>
      <c r="S21" s="650">
        <f t="shared" si="24"/>
        <v>153</v>
      </c>
      <c r="T21" s="651">
        <f t="shared" si="25"/>
        <v>8011.3194595185687</v>
      </c>
      <c r="U21" s="624"/>
      <c r="V21" s="1814"/>
      <c r="W21" s="651">
        <f t="shared" si="26"/>
        <v>668</v>
      </c>
    </row>
    <row r="22" spans="1:23">
      <c r="A22" s="618">
        <v>16</v>
      </c>
      <c r="B22" s="619" t="s">
        <v>108</v>
      </c>
      <c r="C22" s="620">
        <f>'[20]2012 Prelim Summary - 20130603'!E24</f>
        <v>1.31352</v>
      </c>
      <c r="D22" s="621">
        <f>'Table 3 Levels 1&amp;2'!AP23</f>
        <v>2217.0978845377472</v>
      </c>
      <c r="E22" s="621">
        <f t="shared" si="15"/>
        <v>2918.5525824705937</v>
      </c>
      <c r="F22" s="621">
        <f t="shared" si="16"/>
        <v>4388.8999743327886</v>
      </c>
      <c r="G22" s="622">
        <f t="shared" si="17"/>
        <v>5764.9078942856049</v>
      </c>
      <c r="H22" s="623"/>
      <c r="I22" s="1087">
        <f>'[21]Oct midyear adj_OJJ'!$I21</f>
        <v>0</v>
      </c>
      <c r="J22" s="622">
        <f t="shared" si="18"/>
        <v>5764.9078942856049</v>
      </c>
      <c r="K22" s="622">
        <f t="shared" si="19"/>
        <v>480</v>
      </c>
      <c r="L22" s="625">
        <f>'Table 3 Levels 1&amp;2'!AS23</f>
        <v>29743503.620000001</v>
      </c>
      <c r="M22" s="626">
        <f>'Table 3 Levels 1&amp;2'!C23</f>
        <v>4954</v>
      </c>
      <c r="N22" s="626">
        <f t="shared" si="20"/>
        <v>4955.3135199999997</v>
      </c>
      <c r="O22" s="627">
        <f t="shared" si="21"/>
        <v>6002.3454620889461</v>
      </c>
      <c r="P22" s="628">
        <f t="shared" si="22"/>
        <v>7884.2008113630727</v>
      </c>
      <c r="Q22" s="1096">
        <f>'[21]Oct midyear adj_OJJ'!$K21</f>
        <v>0</v>
      </c>
      <c r="R22" s="628">
        <f t="shared" si="23"/>
        <v>7884.2008113630727</v>
      </c>
      <c r="S22" s="628">
        <f t="shared" si="24"/>
        <v>657</v>
      </c>
      <c r="T22" s="629">
        <f t="shared" si="25"/>
        <v>13649.108705648678</v>
      </c>
      <c r="U22" s="623"/>
      <c r="V22" s="1814"/>
      <c r="W22" s="629">
        <f t="shared" si="26"/>
        <v>1137</v>
      </c>
    </row>
    <row r="23" spans="1:23">
      <c r="A23" s="630">
        <v>17</v>
      </c>
      <c r="B23" s="631" t="s">
        <v>109</v>
      </c>
      <c r="C23" s="632">
        <f>'[20]2012 Prelim Summary - 20130603'!E25</f>
        <v>31.841778000000001</v>
      </c>
      <c r="D23" s="633">
        <f>'Table 3 Levels 1&amp;2'!AP24</f>
        <v>4114.5442554698484</v>
      </c>
      <c r="E23" s="633">
        <f t="shared" si="15"/>
        <v>5416.3209690648282</v>
      </c>
      <c r="F23" s="633">
        <f t="shared" si="16"/>
        <v>6886.6683609270231</v>
      </c>
      <c r="G23" s="634">
        <f t="shared" si="17"/>
        <v>219283.76510826216</v>
      </c>
      <c r="H23" s="623"/>
      <c r="I23" s="1088">
        <v>0</v>
      </c>
      <c r="J23" s="634">
        <f t="shared" si="18"/>
        <v>219283.76510826216</v>
      </c>
      <c r="K23" s="634">
        <f t="shared" si="19"/>
        <v>18274</v>
      </c>
      <c r="L23" s="625">
        <f>'Table 3 Levels 1&amp;2'!AS24</f>
        <v>198077748.47999999</v>
      </c>
      <c r="M23" s="635">
        <f>'Table 3 Levels 1&amp;2'!C24</f>
        <v>43026</v>
      </c>
      <c r="N23" s="635">
        <f t="shared" si="20"/>
        <v>43057.841778000002</v>
      </c>
      <c r="O23" s="636">
        <f t="shared" si="21"/>
        <v>4600.2711771124104</v>
      </c>
      <c r="P23" s="637">
        <f t="shared" si="22"/>
        <v>146480.81356141207</v>
      </c>
      <c r="Q23" s="1097">
        <v>0</v>
      </c>
      <c r="R23" s="637">
        <f t="shared" si="23"/>
        <v>146480.81356141207</v>
      </c>
      <c r="S23" s="637">
        <f t="shared" si="24"/>
        <v>12207</v>
      </c>
      <c r="T23" s="638">
        <f t="shared" si="25"/>
        <v>365764.57866967423</v>
      </c>
      <c r="U23" s="623"/>
      <c r="V23" s="624"/>
      <c r="W23" s="638">
        <f t="shared" si="26"/>
        <v>30481</v>
      </c>
    </row>
    <row r="24" spans="1:23">
      <c r="A24" s="630">
        <v>18</v>
      </c>
      <c r="B24" s="631" t="s">
        <v>110</v>
      </c>
      <c r="C24" s="632">
        <f>'[20]2012 Prelim Summary - 20130603'!E26</f>
        <v>4.9180000000000001E-2</v>
      </c>
      <c r="D24" s="633">
        <f>'Table 3 Levels 1&amp;2'!AP25</f>
        <v>6835.0851892854571</v>
      </c>
      <c r="E24" s="633">
        <f t="shared" si="15"/>
        <v>8997.5980175339628</v>
      </c>
      <c r="F24" s="633">
        <f t="shared" si="16"/>
        <v>10467.945409396158</v>
      </c>
      <c r="G24" s="634">
        <f t="shared" si="17"/>
        <v>514.81355523410309</v>
      </c>
      <c r="H24" s="623"/>
      <c r="I24" s="1088">
        <f>'[21]Oct midyear adj_OJJ'!$I23</f>
        <v>0</v>
      </c>
      <c r="J24" s="634">
        <f t="shared" si="18"/>
        <v>514.81355523410309</v>
      </c>
      <c r="K24" s="634">
        <f t="shared" si="19"/>
        <v>43</v>
      </c>
      <c r="L24" s="625">
        <f>'Table 3 Levels 1&amp;2'!AS25</f>
        <v>2546748.5</v>
      </c>
      <c r="M24" s="635">
        <f>'Table 3 Levels 1&amp;2'!C25</f>
        <v>1114</v>
      </c>
      <c r="N24" s="635">
        <f t="shared" si="20"/>
        <v>1114.04918</v>
      </c>
      <c r="O24" s="636">
        <f t="shared" si="21"/>
        <v>2286.0287909372187</v>
      </c>
      <c r="P24" s="637">
        <f t="shared" si="22"/>
        <v>112.42689593829242</v>
      </c>
      <c r="Q24" s="1097">
        <f>'[21]Oct midyear adj_OJJ'!$K23</f>
        <v>0</v>
      </c>
      <c r="R24" s="637">
        <f t="shared" si="23"/>
        <v>112.42689593829242</v>
      </c>
      <c r="S24" s="637">
        <f t="shared" si="24"/>
        <v>9</v>
      </c>
      <c r="T24" s="638">
        <f t="shared" si="25"/>
        <v>627.24045117239552</v>
      </c>
      <c r="U24" s="623"/>
      <c r="V24" s="624"/>
      <c r="W24" s="638">
        <f t="shared" si="26"/>
        <v>52</v>
      </c>
    </row>
    <row r="25" spans="1:23">
      <c r="A25" s="630">
        <v>19</v>
      </c>
      <c r="B25" s="631" t="s">
        <v>111</v>
      </c>
      <c r="C25" s="632">
        <f>'[20]2012 Prelim Summary - 20130603'!E27</f>
        <v>0.60109299999999999</v>
      </c>
      <c r="D25" s="633">
        <f>'Table 3 Levels 1&amp;2'!AP26</f>
        <v>6221.3213399708029</v>
      </c>
      <c r="E25" s="633">
        <f t="shared" si="15"/>
        <v>8189.6489955547859</v>
      </c>
      <c r="F25" s="633">
        <f t="shared" si="16"/>
        <v>9659.9963874169807</v>
      </c>
      <c r="G25" s="634">
        <f t="shared" si="17"/>
        <v>5806.5562085016354</v>
      </c>
      <c r="H25" s="623"/>
      <c r="I25" s="1088">
        <f>'[21]Oct midyear adj_OJJ'!$I24</f>
        <v>0</v>
      </c>
      <c r="J25" s="634">
        <f t="shared" si="18"/>
        <v>5806.5562085016354</v>
      </c>
      <c r="K25" s="634">
        <f t="shared" si="19"/>
        <v>484</v>
      </c>
      <c r="L25" s="625">
        <f>'Table 3 Levels 1&amp;2'!AS26</f>
        <v>5297638.5</v>
      </c>
      <c r="M25" s="635">
        <f>'Table 3 Levels 1&amp;2'!C26</f>
        <v>1918</v>
      </c>
      <c r="N25" s="635">
        <f t="shared" si="20"/>
        <v>1918.601093</v>
      </c>
      <c r="O25" s="636">
        <f t="shared" si="21"/>
        <v>2761.1985208016349</v>
      </c>
      <c r="P25" s="637">
        <f t="shared" si="22"/>
        <v>1659.7371024642171</v>
      </c>
      <c r="Q25" s="1097">
        <f>'[21]Oct midyear adj_OJJ'!$K24</f>
        <v>0</v>
      </c>
      <c r="R25" s="637">
        <f t="shared" si="23"/>
        <v>1659.7371024642171</v>
      </c>
      <c r="S25" s="637">
        <f t="shared" si="24"/>
        <v>138</v>
      </c>
      <c r="T25" s="638">
        <f t="shared" si="25"/>
        <v>7466.2933109658525</v>
      </c>
      <c r="U25" s="623"/>
      <c r="V25" s="624"/>
      <c r="W25" s="638">
        <f t="shared" si="26"/>
        <v>622</v>
      </c>
    </row>
    <row r="26" spans="1:23">
      <c r="A26" s="641">
        <v>20</v>
      </c>
      <c r="B26" s="642" t="s">
        <v>112</v>
      </c>
      <c r="C26" s="643">
        <f>'[20]2012 Prelim Summary - 20130603'!E28</f>
        <v>7.4883509999999998</v>
      </c>
      <c r="D26" s="644">
        <f>'Table 3 Levels 1&amp;2'!AP27</f>
        <v>6006.3742919205843</v>
      </c>
      <c r="E26" s="644">
        <f t="shared" si="15"/>
        <v>7906.6961017937629</v>
      </c>
      <c r="F26" s="644">
        <f t="shared" si="16"/>
        <v>9377.0434936559577</v>
      </c>
      <c r="G26" s="645">
        <f t="shared" si="17"/>
        <v>70218.593022762085</v>
      </c>
      <c r="H26" s="624"/>
      <c r="I26" s="1089">
        <v>0</v>
      </c>
      <c r="J26" s="645">
        <f t="shared" si="18"/>
        <v>70218.593022762085</v>
      </c>
      <c r="K26" s="645">
        <f t="shared" si="19"/>
        <v>5852</v>
      </c>
      <c r="L26" s="647">
        <f>'Table 3 Levels 1&amp;2'!AS27</f>
        <v>14395441</v>
      </c>
      <c r="M26" s="648">
        <f>'Table 3 Levels 1&amp;2'!C27</f>
        <v>5893</v>
      </c>
      <c r="N26" s="648">
        <f t="shared" si="20"/>
        <v>5900.488351</v>
      </c>
      <c r="O26" s="649">
        <f t="shared" si="21"/>
        <v>2439.7033166856936</v>
      </c>
      <c r="P26" s="650">
        <f t="shared" si="22"/>
        <v>18269.354771206628</v>
      </c>
      <c r="Q26" s="1098">
        <v>0</v>
      </c>
      <c r="R26" s="650">
        <f t="shared" si="23"/>
        <v>18269.354771206628</v>
      </c>
      <c r="S26" s="650">
        <f t="shared" si="24"/>
        <v>1522</v>
      </c>
      <c r="T26" s="651">
        <f t="shared" si="25"/>
        <v>88487.94779396872</v>
      </c>
      <c r="U26" s="624"/>
      <c r="V26" s="624"/>
      <c r="W26" s="651">
        <f t="shared" si="26"/>
        <v>7374</v>
      </c>
    </row>
    <row r="27" spans="1:23">
      <c r="A27" s="618">
        <v>21</v>
      </c>
      <c r="B27" s="619" t="s">
        <v>113</v>
      </c>
      <c r="C27" s="620">
        <f>'[20]2012 Prelim Summary - 20130603'!E29</f>
        <v>2.721311</v>
      </c>
      <c r="D27" s="621">
        <f>'Table 3 Levels 1&amp;2'!AP28</f>
        <v>6334.8904916279062</v>
      </c>
      <c r="E27" s="621">
        <f t="shared" si="15"/>
        <v>8339.1496302220457</v>
      </c>
      <c r="F27" s="621">
        <f t="shared" si="16"/>
        <v>9809.4970220842406</v>
      </c>
      <c r="G27" s="622">
        <f t="shared" si="17"/>
        <v>26694.692150665087</v>
      </c>
      <c r="H27" s="623"/>
      <c r="I27" s="1087">
        <f>'[21]Oct midyear adj_OJJ'!$I26</f>
        <v>0</v>
      </c>
      <c r="J27" s="622">
        <f t="shared" si="18"/>
        <v>26694.692150665087</v>
      </c>
      <c r="K27" s="622">
        <f t="shared" si="19"/>
        <v>2225</v>
      </c>
      <c r="L27" s="625">
        <f>'Table 3 Levels 1&amp;2'!AS28</f>
        <v>6749798.5</v>
      </c>
      <c r="M27" s="626">
        <f>'Table 3 Levels 1&amp;2'!C28</f>
        <v>2967</v>
      </c>
      <c r="N27" s="626">
        <f t="shared" si="20"/>
        <v>2969.7213109999998</v>
      </c>
      <c r="O27" s="627">
        <f t="shared" si="21"/>
        <v>2272.8727018923969</v>
      </c>
      <c r="P27" s="628">
        <f t="shared" si="22"/>
        <v>6185.1934852595004</v>
      </c>
      <c r="Q27" s="1096">
        <f>'[21]Oct midyear adj_OJJ'!$K26</f>
        <v>0</v>
      </c>
      <c r="R27" s="628">
        <f t="shared" si="23"/>
        <v>6185.1934852595004</v>
      </c>
      <c r="S27" s="628">
        <f t="shared" si="24"/>
        <v>515</v>
      </c>
      <c r="T27" s="629">
        <f t="shared" si="25"/>
        <v>32879.885635924584</v>
      </c>
      <c r="U27" s="623"/>
      <c r="V27" s="624"/>
      <c r="W27" s="629">
        <f t="shared" si="26"/>
        <v>2740</v>
      </c>
    </row>
    <row r="28" spans="1:23">
      <c r="A28" s="630">
        <v>22</v>
      </c>
      <c r="B28" s="631" t="s">
        <v>114</v>
      </c>
      <c r="C28" s="632">
        <f>'[20]2012 Prelim Summary - 20130603'!E30</f>
        <v>0.44</v>
      </c>
      <c r="D28" s="633">
        <f>'Table 3 Levels 1&amp;2'!AP29</f>
        <v>6699.6533768722747</v>
      </c>
      <c r="E28" s="633">
        <f t="shared" si="15"/>
        <v>8819.3177220974012</v>
      </c>
      <c r="F28" s="633">
        <f t="shared" si="16"/>
        <v>10289.665113959596</v>
      </c>
      <c r="G28" s="634">
        <f t="shared" si="17"/>
        <v>4527.4526501422224</v>
      </c>
      <c r="H28" s="623"/>
      <c r="I28" s="1088">
        <f>'[21]Oct midyear adj_OJJ'!$I27</f>
        <v>0</v>
      </c>
      <c r="J28" s="634">
        <f t="shared" si="18"/>
        <v>4527.4526501422224</v>
      </c>
      <c r="K28" s="634">
        <f t="shared" si="19"/>
        <v>377</v>
      </c>
      <c r="L28" s="625">
        <f>'Table 3 Levels 1&amp;2'!AS29</f>
        <v>5180689</v>
      </c>
      <c r="M28" s="635">
        <f>'Table 3 Levels 1&amp;2'!C29</f>
        <v>3210</v>
      </c>
      <c r="N28" s="635">
        <f t="shared" si="20"/>
        <v>3210.44</v>
      </c>
      <c r="O28" s="636">
        <f t="shared" si="21"/>
        <v>1613.7006142460223</v>
      </c>
      <c r="P28" s="637">
        <f t="shared" si="22"/>
        <v>710.0282702682498</v>
      </c>
      <c r="Q28" s="1097">
        <f>'[21]Oct midyear adj_OJJ'!$K27</f>
        <v>0</v>
      </c>
      <c r="R28" s="637">
        <f t="shared" si="23"/>
        <v>710.0282702682498</v>
      </c>
      <c r="S28" s="637">
        <f t="shared" si="24"/>
        <v>59</v>
      </c>
      <c r="T28" s="638">
        <f t="shared" si="25"/>
        <v>5237.4809204104722</v>
      </c>
      <c r="U28" s="623"/>
      <c r="V28" s="624"/>
      <c r="W28" s="638">
        <f t="shared" si="26"/>
        <v>436</v>
      </c>
    </row>
    <row r="29" spans="1:23">
      <c r="A29" s="630">
        <v>23</v>
      </c>
      <c r="B29" s="631" t="s">
        <v>115</v>
      </c>
      <c r="C29" s="632">
        <f>'[20]2012 Prelim Summary - 20130603'!E31</f>
        <v>5.0106029999999997</v>
      </c>
      <c r="D29" s="633">
        <f>'Table 3 Levels 1&amp;2'!AP30</f>
        <v>5534.660249006768</v>
      </c>
      <c r="E29" s="633">
        <f t="shared" si="15"/>
        <v>7285.7391978450678</v>
      </c>
      <c r="F29" s="633">
        <f t="shared" si="16"/>
        <v>8756.0865897072617</v>
      </c>
      <c r="G29" s="634">
        <f t="shared" si="17"/>
        <v>43873.273734646973</v>
      </c>
      <c r="H29" s="623"/>
      <c r="I29" s="1088">
        <v>0</v>
      </c>
      <c r="J29" s="634">
        <f t="shared" si="18"/>
        <v>43873.273734646973</v>
      </c>
      <c r="K29" s="634">
        <f t="shared" si="19"/>
        <v>3656</v>
      </c>
      <c r="L29" s="625">
        <f>'Table 3 Levels 1&amp;2'!AS30</f>
        <v>44664764.240000002</v>
      </c>
      <c r="M29" s="635">
        <f>'Table 3 Levels 1&amp;2'!C30</f>
        <v>13428</v>
      </c>
      <c r="N29" s="635">
        <f t="shared" si="20"/>
        <v>13433.010603000001</v>
      </c>
      <c r="O29" s="636">
        <f t="shared" si="21"/>
        <v>3325.0002966591123</v>
      </c>
      <c r="P29" s="637">
        <f t="shared" si="22"/>
        <v>16660.256461441037</v>
      </c>
      <c r="Q29" s="1097">
        <v>0</v>
      </c>
      <c r="R29" s="637">
        <f t="shared" si="23"/>
        <v>16660.256461441037</v>
      </c>
      <c r="S29" s="637">
        <f t="shared" si="24"/>
        <v>1388</v>
      </c>
      <c r="T29" s="638">
        <f t="shared" si="25"/>
        <v>60533.53019608801</v>
      </c>
      <c r="U29" s="623"/>
      <c r="V29" s="624"/>
      <c r="W29" s="638">
        <f t="shared" si="26"/>
        <v>5044</v>
      </c>
    </row>
    <row r="30" spans="1:23">
      <c r="A30" s="630">
        <v>24</v>
      </c>
      <c r="B30" s="631" t="s">
        <v>116</v>
      </c>
      <c r="C30" s="632">
        <f>'[20]2012 Prelim Summary - 20130603'!E32</f>
        <v>1.1524049999999999</v>
      </c>
      <c r="D30" s="633">
        <f>'Table 3 Levels 1&amp;2'!AP31</f>
        <v>3618.3716755319151</v>
      </c>
      <c r="E30" s="633">
        <f t="shared" si="15"/>
        <v>4763.1672338922954</v>
      </c>
      <c r="F30" s="633">
        <f t="shared" si="16"/>
        <v>6233.5146257544902</v>
      </c>
      <c r="G30" s="634">
        <f t="shared" si="17"/>
        <v>7183.5334222926031</v>
      </c>
      <c r="H30" s="623"/>
      <c r="I30" s="1088">
        <f>'[21]Oct midyear adj_OJJ'!$I29</f>
        <v>0</v>
      </c>
      <c r="J30" s="634">
        <f t="shared" si="18"/>
        <v>7183.5334222926031</v>
      </c>
      <c r="K30" s="634">
        <f t="shared" si="19"/>
        <v>599</v>
      </c>
      <c r="L30" s="625">
        <f>'Table 3 Levels 1&amp;2'!AS31</f>
        <v>23320550.620000001</v>
      </c>
      <c r="M30" s="635">
        <f>'Table 3 Levels 1&amp;2'!C31</f>
        <v>4512</v>
      </c>
      <c r="N30" s="635">
        <f t="shared" si="20"/>
        <v>4513.1524049999998</v>
      </c>
      <c r="O30" s="636">
        <f t="shared" si="21"/>
        <v>5167.2419912440346</v>
      </c>
      <c r="P30" s="637">
        <f t="shared" si="22"/>
        <v>5954.7555069195814</v>
      </c>
      <c r="Q30" s="1097">
        <f>'[21]Oct midyear adj_OJJ'!$K29</f>
        <v>0</v>
      </c>
      <c r="R30" s="637">
        <f t="shared" si="23"/>
        <v>5954.7555069195814</v>
      </c>
      <c r="S30" s="637">
        <f t="shared" si="24"/>
        <v>496</v>
      </c>
      <c r="T30" s="638">
        <f t="shared" si="25"/>
        <v>13138.288929212184</v>
      </c>
      <c r="U30" s="623"/>
      <c r="V30" s="624"/>
      <c r="W30" s="638">
        <f t="shared" si="26"/>
        <v>1095</v>
      </c>
    </row>
    <row r="31" spans="1:23">
      <c r="A31" s="641">
        <v>25</v>
      </c>
      <c r="B31" s="642" t="s">
        <v>117</v>
      </c>
      <c r="C31" s="643">
        <f>'[20]2012 Prelim Summary - 20130603'!E33</f>
        <v>0.91600000000000004</v>
      </c>
      <c r="D31" s="644">
        <f>'Table 3 Levels 1&amp;2'!AP32</f>
        <v>4521.1780692053262</v>
      </c>
      <c r="E31" s="644">
        <f t="shared" si="15"/>
        <v>5951.6072888409099</v>
      </c>
      <c r="F31" s="644">
        <f t="shared" si="16"/>
        <v>7421.9546807031047</v>
      </c>
      <c r="G31" s="645">
        <f t="shared" si="17"/>
        <v>6798.510487524044</v>
      </c>
      <c r="H31" s="624"/>
      <c r="I31" s="1089">
        <f>'[21]Oct midyear adj_OJJ'!$I30</f>
        <v>0</v>
      </c>
      <c r="J31" s="645">
        <f t="shared" si="18"/>
        <v>6798.510487524044</v>
      </c>
      <c r="K31" s="645">
        <f t="shared" si="19"/>
        <v>567</v>
      </c>
      <c r="L31" s="647">
        <f>'Table 3 Levels 1&amp;2'!AS32</f>
        <v>9834744.3399999999</v>
      </c>
      <c r="M31" s="648">
        <f>'Table 3 Levels 1&amp;2'!C32</f>
        <v>2223</v>
      </c>
      <c r="N31" s="648">
        <f t="shared" si="20"/>
        <v>2223.9160000000002</v>
      </c>
      <c r="O31" s="649">
        <f t="shared" si="21"/>
        <v>4422.2643031481402</v>
      </c>
      <c r="P31" s="650">
        <f t="shared" si="22"/>
        <v>4050.7941016836967</v>
      </c>
      <c r="Q31" s="1098">
        <f>'[21]Oct midyear adj_OJJ'!$K30</f>
        <v>0</v>
      </c>
      <c r="R31" s="650">
        <f t="shared" si="23"/>
        <v>4050.7941016836967</v>
      </c>
      <c r="S31" s="650">
        <f t="shared" si="24"/>
        <v>338</v>
      </c>
      <c r="T31" s="651">
        <f t="shared" si="25"/>
        <v>10849.304589207741</v>
      </c>
      <c r="U31" s="624"/>
      <c r="V31" s="624"/>
      <c r="W31" s="651">
        <f t="shared" si="26"/>
        <v>905</v>
      </c>
    </row>
    <row r="32" spans="1:23">
      <c r="A32" s="618">
        <v>26</v>
      </c>
      <c r="B32" s="619" t="s">
        <v>118</v>
      </c>
      <c r="C32" s="620">
        <f>'[20]2012 Prelim Summary - 20130603'!E34</f>
        <v>23.023351000000002</v>
      </c>
      <c r="D32" s="621">
        <f>'Table 3 Levels 1&amp;2'!AP33</f>
        <v>4130.3115267903559</v>
      </c>
      <c r="E32" s="621">
        <f t="shared" si="15"/>
        <v>5437.0767556053834</v>
      </c>
      <c r="F32" s="621">
        <f t="shared" si="16"/>
        <v>6907.4241474675782</v>
      </c>
      <c r="G32" s="622">
        <f t="shared" si="17"/>
        <v>159032.05065302181</v>
      </c>
      <c r="H32" s="623"/>
      <c r="I32" s="1087">
        <v>0</v>
      </c>
      <c r="J32" s="622">
        <f t="shared" si="18"/>
        <v>159032.05065302181</v>
      </c>
      <c r="K32" s="622">
        <f t="shared" si="19"/>
        <v>13253</v>
      </c>
      <c r="L32" s="625">
        <f>'Table 3 Levels 1&amp;2'!AS33</f>
        <v>207826342.94</v>
      </c>
      <c r="M32" s="626">
        <f>'Table 3 Levels 1&amp;2'!C33</f>
        <v>43994</v>
      </c>
      <c r="N32" s="626">
        <f t="shared" si="20"/>
        <v>44017.023351000003</v>
      </c>
      <c r="O32" s="627">
        <f t="shared" si="21"/>
        <v>4721.499254566892</v>
      </c>
      <c r="P32" s="628">
        <f t="shared" si="22"/>
        <v>108704.73458413192</v>
      </c>
      <c r="Q32" s="1096">
        <v>0</v>
      </c>
      <c r="R32" s="628">
        <f t="shared" si="23"/>
        <v>108704.73458413192</v>
      </c>
      <c r="S32" s="628">
        <f t="shared" si="24"/>
        <v>9059</v>
      </c>
      <c r="T32" s="629">
        <f t="shared" si="25"/>
        <v>267736.78523715376</v>
      </c>
      <c r="U32" s="623"/>
      <c r="V32" s="624"/>
      <c r="W32" s="629">
        <f t="shared" si="26"/>
        <v>22312</v>
      </c>
    </row>
    <row r="33" spans="1:23">
      <c r="A33" s="630">
        <v>27</v>
      </c>
      <c r="B33" s="631" t="s">
        <v>119</v>
      </c>
      <c r="C33" s="653">
        <f>'[20]2012 Prelim Summary - 20130603'!E35</f>
        <v>2.2999999999999998</v>
      </c>
      <c r="D33" s="654">
        <f>'Table 3 Levels 1&amp;2'!AP34</f>
        <v>6373.8327517381977</v>
      </c>
      <c r="E33" s="654">
        <f t="shared" si="15"/>
        <v>8390.4126053954806</v>
      </c>
      <c r="F33" s="654">
        <f t="shared" si="16"/>
        <v>9860.7599972576754</v>
      </c>
      <c r="G33" s="655">
        <f t="shared" si="17"/>
        <v>22679.74799369265</v>
      </c>
      <c r="H33" s="656"/>
      <c r="I33" s="1090">
        <f>'[21]Oct midyear adj_OJJ'!$I32</f>
        <v>0</v>
      </c>
      <c r="J33" s="655">
        <f t="shared" si="18"/>
        <v>22679.74799369265</v>
      </c>
      <c r="K33" s="655">
        <f t="shared" si="19"/>
        <v>1890</v>
      </c>
      <c r="L33" s="625">
        <f>'Table 3 Levels 1&amp;2'!AS34</f>
        <v>17262637.859999999</v>
      </c>
      <c r="M33" s="658">
        <f>'Table 3 Levels 1&amp;2'!C34</f>
        <v>5614</v>
      </c>
      <c r="N33" s="658">
        <f t="shared" si="20"/>
        <v>5616.3</v>
      </c>
      <c r="O33" s="636">
        <f t="shared" si="21"/>
        <v>3073.6673361465732</v>
      </c>
      <c r="P33" s="637">
        <f t="shared" si="22"/>
        <v>7069.4348731371183</v>
      </c>
      <c r="Q33" s="1097">
        <f>'[21]Oct midyear adj_OJJ'!$K32</f>
        <v>0</v>
      </c>
      <c r="R33" s="637">
        <f t="shared" si="23"/>
        <v>7069.4348731371183</v>
      </c>
      <c r="S33" s="637">
        <f t="shared" si="24"/>
        <v>589</v>
      </c>
      <c r="T33" s="638">
        <f t="shared" si="25"/>
        <v>29749.182866829768</v>
      </c>
      <c r="U33" s="656"/>
      <c r="V33" s="657"/>
      <c r="W33" s="638">
        <f t="shared" si="26"/>
        <v>2479</v>
      </c>
    </row>
    <row r="34" spans="1:23">
      <c r="A34" s="630">
        <v>28</v>
      </c>
      <c r="B34" s="631" t="s">
        <v>120</v>
      </c>
      <c r="C34" s="653">
        <f>'[20]2012 Prelim Summary - 20130603'!E36</f>
        <v>7.3525049999999998</v>
      </c>
      <c r="D34" s="654">
        <f>'Table 3 Levels 1&amp;2'!AP35</f>
        <v>3857.569443848317</v>
      </c>
      <c r="E34" s="654">
        <f t="shared" si="15"/>
        <v>5078.0433921845079</v>
      </c>
      <c r="F34" s="654">
        <f t="shared" si="16"/>
        <v>6548.3907840467027</v>
      </c>
      <c r="G34" s="655">
        <f t="shared" si="17"/>
        <v>48147.075981657305</v>
      </c>
      <c r="H34" s="656"/>
      <c r="I34" s="1090">
        <f>'[21]Oct midyear adj_OJJ'!$I33</f>
        <v>0</v>
      </c>
      <c r="J34" s="655">
        <f t="shared" si="18"/>
        <v>48147.075981657305</v>
      </c>
      <c r="K34" s="655">
        <f t="shared" si="19"/>
        <v>4012</v>
      </c>
      <c r="L34" s="625">
        <f>'Table 3 Levels 1&amp;2'!AS35</f>
        <v>124606938.02</v>
      </c>
      <c r="M34" s="658">
        <f>'Table 3 Levels 1&amp;2'!C35</f>
        <v>30011</v>
      </c>
      <c r="N34" s="658">
        <f t="shared" si="20"/>
        <v>30018.352504999999</v>
      </c>
      <c r="O34" s="636">
        <f t="shared" si="21"/>
        <v>4151.0252103024268</v>
      </c>
      <c r="P34" s="637">
        <f t="shared" si="22"/>
        <v>30520.433613874644</v>
      </c>
      <c r="Q34" s="1097">
        <f>'[21]Oct midyear adj_OJJ'!$K33</f>
        <v>0</v>
      </c>
      <c r="R34" s="637">
        <f t="shared" si="23"/>
        <v>30520.433613874644</v>
      </c>
      <c r="S34" s="637">
        <f t="shared" si="24"/>
        <v>2543</v>
      </c>
      <c r="T34" s="638">
        <f t="shared" si="25"/>
        <v>78667.509595531941</v>
      </c>
      <c r="U34" s="656"/>
      <c r="V34" s="657"/>
      <c r="W34" s="638">
        <f t="shared" si="26"/>
        <v>6555</v>
      </c>
    </row>
    <row r="35" spans="1:23">
      <c r="A35" s="630">
        <v>29</v>
      </c>
      <c r="B35" s="631" t="s">
        <v>121</v>
      </c>
      <c r="C35" s="653">
        <f>'[20]2012 Prelim Summary - 20130603'!E37</f>
        <v>9.5700719999999997</v>
      </c>
      <c r="D35" s="654">
        <f>'Table 3 Levels 1&amp;2'!AP36</f>
        <v>4707.5086133052646</v>
      </c>
      <c r="E35" s="654">
        <f t="shared" si="15"/>
        <v>6196.8898694922409</v>
      </c>
      <c r="F35" s="654">
        <f t="shared" si="16"/>
        <v>7667.2372613544358</v>
      </c>
      <c r="G35" s="655">
        <f t="shared" si="17"/>
        <v>73376.012632244761</v>
      </c>
      <c r="H35" s="656"/>
      <c r="I35" s="1090">
        <v>0</v>
      </c>
      <c r="J35" s="655">
        <f t="shared" si="18"/>
        <v>73376.012632244761</v>
      </c>
      <c r="K35" s="655">
        <f t="shared" si="19"/>
        <v>6115</v>
      </c>
      <c r="L35" s="625">
        <f>'Table 3 Levels 1&amp;2'!AS36</f>
        <v>48188080.560000002</v>
      </c>
      <c r="M35" s="658">
        <f>'Table 3 Levels 1&amp;2'!C36</f>
        <v>13679</v>
      </c>
      <c r="N35" s="658">
        <f t="shared" si="20"/>
        <v>13688.570072</v>
      </c>
      <c r="O35" s="636">
        <f t="shared" si="21"/>
        <v>3520.3151466177483</v>
      </c>
      <c r="P35" s="637">
        <f t="shared" si="22"/>
        <v>33689.669415822405</v>
      </c>
      <c r="Q35" s="1097">
        <v>0</v>
      </c>
      <c r="R35" s="637">
        <f t="shared" si="23"/>
        <v>33689.669415822405</v>
      </c>
      <c r="S35" s="637">
        <f t="shared" si="24"/>
        <v>2807</v>
      </c>
      <c r="T35" s="638">
        <f t="shared" si="25"/>
        <v>107065.68204806716</v>
      </c>
      <c r="U35" s="656"/>
      <c r="V35" s="657"/>
      <c r="W35" s="638">
        <f t="shared" si="26"/>
        <v>8922</v>
      </c>
    </row>
    <row r="36" spans="1:23">
      <c r="A36" s="641">
        <v>30</v>
      </c>
      <c r="B36" s="642" t="s">
        <v>122</v>
      </c>
      <c r="C36" s="659">
        <f>'[20]2012 Prelim Summary - 20130603'!E38</f>
        <v>0</v>
      </c>
      <c r="D36" s="660">
        <f>'Table 3 Levels 1&amp;2'!AP37</f>
        <v>6375.821046585299</v>
      </c>
      <c r="E36" s="660">
        <f t="shared" si="15"/>
        <v>8393.0299652789527</v>
      </c>
      <c r="F36" s="660">
        <f t="shared" si="16"/>
        <v>9863.3773571411475</v>
      </c>
      <c r="G36" s="661">
        <f t="shared" si="17"/>
        <v>0</v>
      </c>
      <c r="H36" s="657"/>
      <c r="I36" s="1091">
        <f>'[21]Oct midyear adj_OJJ'!$I35</f>
        <v>0</v>
      </c>
      <c r="J36" s="661">
        <f t="shared" si="18"/>
        <v>0</v>
      </c>
      <c r="K36" s="661">
        <f t="shared" si="19"/>
        <v>0</v>
      </c>
      <c r="L36" s="647">
        <f>'Table 3 Levels 1&amp;2'!AS37</f>
        <v>7523426.8399999999</v>
      </c>
      <c r="M36" s="662">
        <f>'Table 3 Levels 1&amp;2'!C37</f>
        <v>2476</v>
      </c>
      <c r="N36" s="662">
        <f t="shared" si="20"/>
        <v>2476</v>
      </c>
      <c r="O36" s="649">
        <f t="shared" si="21"/>
        <v>3038.5407269789985</v>
      </c>
      <c r="P36" s="650">
        <f t="shared" si="22"/>
        <v>0</v>
      </c>
      <c r="Q36" s="1098">
        <f>'[21]Oct midyear adj_OJJ'!$K35</f>
        <v>0</v>
      </c>
      <c r="R36" s="650">
        <f t="shared" si="23"/>
        <v>0</v>
      </c>
      <c r="S36" s="650">
        <f t="shared" si="24"/>
        <v>0</v>
      </c>
      <c r="T36" s="651">
        <f t="shared" si="25"/>
        <v>0</v>
      </c>
      <c r="U36" s="657"/>
      <c r="V36" s="657"/>
      <c r="W36" s="651">
        <f t="shared" si="26"/>
        <v>0</v>
      </c>
    </row>
    <row r="37" spans="1:23">
      <c r="A37" s="618">
        <v>31</v>
      </c>
      <c r="B37" s="619" t="s">
        <v>123</v>
      </c>
      <c r="C37" s="663">
        <f>'[20]2012 Prelim Summary - 20130603'!E39</f>
        <v>1.4279999999999999</v>
      </c>
      <c r="D37" s="664">
        <f>'Table 3 Levels 1&amp;2'!AP38</f>
        <v>4969.760789923298</v>
      </c>
      <c r="E37" s="664">
        <f t="shared" si="15"/>
        <v>6542.1144861702169</v>
      </c>
      <c r="F37" s="664">
        <f t="shared" si="16"/>
        <v>8012.4618780324117</v>
      </c>
      <c r="G37" s="665">
        <f t="shared" si="17"/>
        <v>11441.795561830284</v>
      </c>
      <c r="H37" s="656"/>
      <c r="I37" s="1092">
        <v>0</v>
      </c>
      <c r="J37" s="665">
        <f t="shared" si="18"/>
        <v>11441.795561830284</v>
      </c>
      <c r="K37" s="665">
        <f t="shared" si="19"/>
        <v>953</v>
      </c>
      <c r="L37" s="625">
        <f>'Table 3 Levels 1&amp;2'!AS38</f>
        <v>23751465.66</v>
      </c>
      <c r="M37" s="666">
        <f>'Table 3 Levels 1&amp;2'!C38</f>
        <v>6405</v>
      </c>
      <c r="N37" s="666">
        <f t="shared" si="20"/>
        <v>6406.4279999999999</v>
      </c>
      <c r="O37" s="627">
        <f t="shared" si="21"/>
        <v>3707.4428464660809</v>
      </c>
      <c r="P37" s="628">
        <f t="shared" si="22"/>
        <v>5294.2283847535637</v>
      </c>
      <c r="Q37" s="1096">
        <v>0</v>
      </c>
      <c r="R37" s="628">
        <f t="shared" si="23"/>
        <v>5294.2283847535637</v>
      </c>
      <c r="S37" s="628">
        <f t="shared" si="24"/>
        <v>441</v>
      </c>
      <c r="T37" s="629">
        <f t="shared" si="25"/>
        <v>16736.023946583846</v>
      </c>
      <c r="U37" s="656"/>
      <c r="V37" s="657"/>
      <c r="W37" s="629">
        <f t="shared" si="26"/>
        <v>1394</v>
      </c>
    </row>
    <row r="38" spans="1:23">
      <c r="A38" s="630">
        <v>32</v>
      </c>
      <c r="B38" s="631" t="s">
        <v>124</v>
      </c>
      <c r="C38" s="653">
        <f>'[20]2012 Prelim Summary - 20130603'!E40</f>
        <v>1.694374</v>
      </c>
      <c r="D38" s="654">
        <f>'Table 3 Levels 1&amp;2'!AP39</f>
        <v>6091.2857655456774</v>
      </c>
      <c r="E38" s="654">
        <f t="shared" si="15"/>
        <v>8018.4722224414845</v>
      </c>
      <c r="F38" s="654">
        <f t="shared" si="16"/>
        <v>9488.8196143036803</v>
      </c>
      <c r="G38" s="655">
        <f t="shared" si="17"/>
        <v>16077.609245166184</v>
      </c>
      <c r="H38" s="656"/>
      <c r="I38" s="1090">
        <f>'[21]Oct midyear adj_OJJ'!$I37</f>
        <v>0</v>
      </c>
      <c r="J38" s="655">
        <f t="shared" si="18"/>
        <v>16077.609245166184</v>
      </c>
      <c r="K38" s="655">
        <f t="shared" si="19"/>
        <v>1340</v>
      </c>
      <c r="L38" s="625">
        <f>'Table 3 Levels 1&amp;2'!AS39</f>
        <v>49820671.5</v>
      </c>
      <c r="M38" s="658">
        <f>'Table 3 Levels 1&amp;2'!C39</f>
        <v>24815</v>
      </c>
      <c r="N38" s="658">
        <f t="shared" si="20"/>
        <v>24816.694373999999</v>
      </c>
      <c r="O38" s="636">
        <f t="shared" si="21"/>
        <v>2007.5466437704215</v>
      </c>
      <c r="P38" s="637">
        <f t="shared" si="22"/>
        <v>3401.5348369918643</v>
      </c>
      <c r="Q38" s="1097">
        <f>'[21]Oct midyear adj_OJJ'!$K37</f>
        <v>0</v>
      </c>
      <c r="R38" s="637">
        <f t="shared" si="23"/>
        <v>3401.5348369918643</v>
      </c>
      <c r="S38" s="637">
        <f t="shared" si="24"/>
        <v>283</v>
      </c>
      <c r="T38" s="638">
        <f t="shared" si="25"/>
        <v>19479.144082158047</v>
      </c>
      <c r="U38" s="656"/>
      <c r="V38" s="657"/>
      <c r="W38" s="638">
        <f t="shared" si="26"/>
        <v>1623</v>
      </c>
    </row>
    <row r="39" spans="1:23">
      <c r="A39" s="630">
        <v>33</v>
      </c>
      <c r="B39" s="631" t="s">
        <v>125</v>
      </c>
      <c r="C39" s="653">
        <f>'[20]2012 Prelim Summary - 20130603'!E41</f>
        <v>2.5223610000000001</v>
      </c>
      <c r="D39" s="654">
        <f>'Table 3 Levels 1&amp;2'!AP40</f>
        <v>5984.8544226517852</v>
      </c>
      <c r="E39" s="654">
        <f t="shared" si="15"/>
        <v>7878.367686315627</v>
      </c>
      <c r="F39" s="654">
        <f t="shared" si="16"/>
        <v>9348.7150781778219</v>
      </c>
      <c r="G39" s="655">
        <f t="shared" si="17"/>
        <v>23580.834313307689</v>
      </c>
      <c r="H39" s="656"/>
      <c r="I39" s="1090">
        <f>'[21]Oct midyear adj_OJJ'!$I38</f>
        <v>0</v>
      </c>
      <c r="J39" s="655">
        <f t="shared" si="18"/>
        <v>23580.834313307689</v>
      </c>
      <c r="K39" s="655">
        <f t="shared" si="19"/>
        <v>1965</v>
      </c>
      <c r="L39" s="625">
        <f>'Table 3 Levels 1&amp;2'!AS40</f>
        <v>5320306</v>
      </c>
      <c r="M39" s="658">
        <f>'Table 3 Levels 1&amp;2'!C40</f>
        <v>1792</v>
      </c>
      <c r="N39" s="658">
        <f t="shared" si="20"/>
        <v>1794.522361</v>
      </c>
      <c r="O39" s="636">
        <f t="shared" si="21"/>
        <v>2964.7476763874106</v>
      </c>
      <c r="P39" s="637">
        <f t="shared" si="22"/>
        <v>7478.163913760226</v>
      </c>
      <c r="Q39" s="1097">
        <f>'[21]Oct midyear adj_OJJ'!$K38</f>
        <v>0</v>
      </c>
      <c r="R39" s="637">
        <f t="shared" si="23"/>
        <v>7478.163913760226</v>
      </c>
      <c r="S39" s="637">
        <f t="shared" si="24"/>
        <v>623</v>
      </c>
      <c r="T39" s="638">
        <f t="shared" si="25"/>
        <v>31058.998227067914</v>
      </c>
      <c r="U39" s="656"/>
      <c r="V39" s="657"/>
      <c r="W39" s="638">
        <f t="shared" si="26"/>
        <v>2588</v>
      </c>
    </row>
    <row r="40" spans="1:23">
      <c r="A40" s="630">
        <v>34</v>
      </c>
      <c r="B40" s="631" t="s">
        <v>126</v>
      </c>
      <c r="C40" s="653">
        <f>'[20]2012 Prelim Summary - 20130603'!E42</f>
        <v>0.74686300000000005</v>
      </c>
      <c r="D40" s="654">
        <f>'Table 3 Levels 1&amp;2'!AP41</f>
        <v>6647.7429320074907</v>
      </c>
      <c r="E40" s="654">
        <f t="shared" si="15"/>
        <v>8750.9836336595781</v>
      </c>
      <c r="F40" s="654">
        <f t="shared" si="16"/>
        <v>10221.331025521773</v>
      </c>
      <c r="G40" s="655">
        <f t="shared" si="17"/>
        <v>7633.9339537142687</v>
      </c>
      <c r="H40" s="656"/>
      <c r="I40" s="1090">
        <f>'[21]Oct midyear adj_OJJ'!$I39</f>
        <v>0</v>
      </c>
      <c r="J40" s="655">
        <f t="shared" si="18"/>
        <v>7633.9339537142687</v>
      </c>
      <c r="K40" s="655">
        <f t="shared" si="19"/>
        <v>636</v>
      </c>
      <c r="L40" s="625">
        <f>'Table 3 Levels 1&amp;2'!AS41</f>
        <v>12309200.5</v>
      </c>
      <c r="M40" s="658">
        <f>'Table 3 Levels 1&amp;2'!C41</f>
        <v>4272</v>
      </c>
      <c r="N40" s="658">
        <f t="shared" si="20"/>
        <v>4272.7468630000003</v>
      </c>
      <c r="O40" s="636">
        <f t="shared" si="21"/>
        <v>2880.8635041293805</v>
      </c>
      <c r="P40" s="637">
        <f t="shared" si="22"/>
        <v>2151.6103592845816</v>
      </c>
      <c r="Q40" s="1097">
        <f>'[21]Oct midyear adj_OJJ'!$K39</f>
        <v>0</v>
      </c>
      <c r="R40" s="637">
        <f t="shared" si="23"/>
        <v>2151.6103592845816</v>
      </c>
      <c r="S40" s="637">
        <f t="shared" si="24"/>
        <v>179</v>
      </c>
      <c r="T40" s="638">
        <f t="shared" si="25"/>
        <v>9785.5443129988507</v>
      </c>
      <c r="U40" s="656"/>
      <c r="V40" s="657"/>
      <c r="W40" s="638">
        <f t="shared" si="26"/>
        <v>815</v>
      </c>
    </row>
    <row r="41" spans="1:23">
      <c r="A41" s="641">
        <v>35</v>
      </c>
      <c r="B41" s="642" t="s">
        <v>127</v>
      </c>
      <c r="C41" s="659">
        <f>'[20]2012 Prelim Summary - 20130603'!E43</f>
        <v>2.9359999999999999</v>
      </c>
      <c r="D41" s="660">
        <f>'Table 3 Levels 1&amp;2'!AP42</f>
        <v>5145.1206416222867</v>
      </c>
      <c r="E41" s="660">
        <f t="shared" si="15"/>
        <v>6772.9554208926147</v>
      </c>
      <c r="F41" s="660">
        <f t="shared" si="16"/>
        <v>8243.3028127548096</v>
      </c>
      <c r="G41" s="661">
        <f t="shared" si="17"/>
        <v>24202.337058248122</v>
      </c>
      <c r="H41" s="657"/>
      <c r="I41" s="1091">
        <f>'[21]Oct midyear adj_OJJ'!$I40</f>
        <v>0</v>
      </c>
      <c r="J41" s="661">
        <f t="shared" si="18"/>
        <v>24202.337058248122</v>
      </c>
      <c r="K41" s="661">
        <f t="shared" si="19"/>
        <v>2017</v>
      </c>
      <c r="L41" s="647">
        <f>'Table 3 Levels 1&amp;2'!AS42</f>
        <v>23289258.280000001</v>
      </c>
      <c r="M41" s="662">
        <f>'Table 3 Levels 1&amp;2'!C42</f>
        <v>6490</v>
      </c>
      <c r="N41" s="662">
        <f t="shared" si="20"/>
        <v>6492.9359999999997</v>
      </c>
      <c r="O41" s="649">
        <f t="shared" si="21"/>
        <v>3586.8609023714389</v>
      </c>
      <c r="P41" s="650">
        <f t="shared" si="22"/>
        <v>10531.023609362544</v>
      </c>
      <c r="Q41" s="1098">
        <f>'[21]Oct midyear adj_OJJ'!$K40</f>
        <v>0</v>
      </c>
      <c r="R41" s="650">
        <f t="shared" si="23"/>
        <v>10531.023609362544</v>
      </c>
      <c r="S41" s="650">
        <f t="shared" si="24"/>
        <v>878</v>
      </c>
      <c r="T41" s="651">
        <f t="shared" si="25"/>
        <v>34733.360667610665</v>
      </c>
      <c r="U41" s="657"/>
      <c r="V41" s="657"/>
      <c r="W41" s="651">
        <f t="shared" si="26"/>
        <v>2895</v>
      </c>
    </row>
    <row r="42" spans="1:23">
      <c r="A42" s="618">
        <v>36</v>
      </c>
      <c r="B42" s="619" t="s">
        <v>128</v>
      </c>
      <c r="C42" s="663">
        <f>'[20]2012 Prelim Summary - 20130603'!E44</f>
        <v>29.713156999999999</v>
      </c>
      <c r="D42" s="664">
        <f>'Table 3 Levels 1&amp;2'!AP43</f>
        <v>4255.5568231178695</v>
      </c>
      <c r="E42" s="664">
        <f t="shared" si="15"/>
        <v>5601.947682409399</v>
      </c>
      <c r="F42" s="664">
        <f t="shared" si="16"/>
        <v>7072.2950742715939</v>
      </c>
      <c r="G42" s="665">
        <f t="shared" si="17"/>
        <v>210140.21389215853</v>
      </c>
      <c r="H42" s="656"/>
      <c r="I42" s="1092">
        <v>0</v>
      </c>
      <c r="J42" s="665">
        <f t="shared" si="18"/>
        <v>210140.21389215853</v>
      </c>
      <c r="K42" s="665">
        <f t="shared" si="19"/>
        <v>17512</v>
      </c>
      <c r="L42" s="625">
        <f>'Table 3 Levels 1&amp;2'!AS43</f>
        <v>175959137.24000001</v>
      </c>
      <c r="M42" s="666">
        <f>'Table 3 Levels 1&amp;2'!C43</f>
        <v>40704</v>
      </c>
      <c r="N42" s="666">
        <f t="shared" si="20"/>
        <v>40733.713156999998</v>
      </c>
      <c r="O42" s="627">
        <f t="shared" si="21"/>
        <v>4319.7421399272025</v>
      </c>
      <c r="P42" s="628">
        <f t="shared" si="22"/>
        <v>128353.17640317293</v>
      </c>
      <c r="Q42" s="1096">
        <v>0</v>
      </c>
      <c r="R42" s="628">
        <f t="shared" si="23"/>
        <v>128353.17640317293</v>
      </c>
      <c r="S42" s="628">
        <f t="shared" si="24"/>
        <v>10696</v>
      </c>
      <c r="T42" s="629">
        <f t="shared" si="25"/>
        <v>338493.39029533148</v>
      </c>
      <c r="U42" s="656"/>
      <c r="V42" s="657"/>
      <c r="W42" s="629">
        <f t="shared" si="26"/>
        <v>28208</v>
      </c>
    </row>
    <row r="43" spans="1:23">
      <c r="A43" s="630">
        <v>37</v>
      </c>
      <c r="B43" s="631" t="s">
        <v>129</v>
      </c>
      <c r="C43" s="653">
        <f>'[20]2012 Prelim Summary - 20130603'!E45</f>
        <v>5.0968410000000004</v>
      </c>
      <c r="D43" s="654">
        <f>'Table 3 Levels 1&amp;2'!AP44</f>
        <v>6157.3695641818849</v>
      </c>
      <c r="E43" s="654">
        <f t="shared" si="15"/>
        <v>8105.4638895727639</v>
      </c>
      <c r="F43" s="654">
        <f t="shared" si="16"/>
        <v>9575.8112814349588</v>
      </c>
      <c r="G43" s="655">
        <f t="shared" si="17"/>
        <v>48806.387547480241</v>
      </c>
      <c r="H43" s="656"/>
      <c r="I43" s="1090">
        <v>0</v>
      </c>
      <c r="J43" s="655">
        <f t="shared" si="18"/>
        <v>48806.387547480241</v>
      </c>
      <c r="K43" s="655">
        <f t="shared" si="19"/>
        <v>4067</v>
      </c>
      <c r="L43" s="625">
        <f>'Table 3 Levels 1&amp;2'!AS44</f>
        <v>55870129.060000002</v>
      </c>
      <c r="M43" s="658">
        <f>'Table 3 Levels 1&amp;2'!C44</f>
        <v>19622</v>
      </c>
      <c r="N43" s="658">
        <f t="shared" si="20"/>
        <v>19627.096840999999</v>
      </c>
      <c r="O43" s="636">
        <f t="shared" si="21"/>
        <v>2846.5814130641147</v>
      </c>
      <c r="P43" s="637">
        <f t="shared" si="22"/>
        <v>14508.572855943117</v>
      </c>
      <c r="Q43" s="1097">
        <v>0</v>
      </c>
      <c r="R43" s="637">
        <f t="shared" si="23"/>
        <v>14508.572855943117</v>
      </c>
      <c r="S43" s="637">
        <f t="shared" si="24"/>
        <v>1209</v>
      </c>
      <c r="T43" s="638">
        <f t="shared" si="25"/>
        <v>63314.960403423356</v>
      </c>
      <c r="U43" s="656"/>
      <c r="V43" s="657"/>
      <c r="W43" s="638">
        <f t="shared" si="26"/>
        <v>5276</v>
      </c>
    </row>
    <row r="44" spans="1:23">
      <c r="A44" s="630">
        <v>38</v>
      </c>
      <c r="B44" s="631" t="s">
        <v>130</v>
      </c>
      <c r="C44" s="653">
        <f>'[20]2012 Prelim Summary - 20130603'!E46</f>
        <v>0.55600000000000005</v>
      </c>
      <c r="D44" s="654">
        <f>'Table 3 Levels 1&amp;2'!AP45</f>
        <v>3022.6745275590547</v>
      </c>
      <c r="E44" s="654">
        <f t="shared" si="15"/>
        <v>3979.0009317585295</v>
      </c>
      <c r="F44" s="654">
        <f t="shared" si="16"/>
        <v>5449.3483236207248</v>
      </c>
      <c r="G44" s="655">
        <f t="shared" si="17"/>
        <v>3029.8376679331232</v>
      </c>
      <c r="H44" s="656"/>
      <c r="I44" s="1090">
        <f>'[21]Oct midyear adj_OJJ'!$I43</f>
        <v>0</v>
      </c>
      <c r="J44" s="655">
        <f t="shared" si="18"/>
        <v>3029.8376679331232</v>
      </c>
      <c r="K44" s="655">
        <f t="shared" si="19"/>
        <v>252</v>
      </c>
      <c r="L44" s="625">
        <f>'Table 3 Levels 1&amp;2'!AS45</f>
        <v>23615799.390000001</v>
      </c>
      <c r="M44" s="658">
        <f>'Table 3 Levels 1&amp;2'!C45</f>
        <v>3810</v>
      </c>
      <c r="N44" s="658">
        <f t="shared" si="20"/>
        <v>3810.556</v>
      </c>
      <c r="O44" s="636">
        <f t="shared" si="21"/>
        <v>6197.4681358835824</v>
      </c>
      <c r="P44" s="637">
        <f t="shared" si="22"/>
        <v>3445.7922835512722</v>
      </c>
      <c r="Q44" s="1097">
        <f>'[21]Oct midyear adj_OJJ'!$K43</f>
        <v>0</v>
      </c>
      <c r="R44" s="637">
        <f t="shared" si="23"/>
        <v>3445.7922835512722</v>
      </c>
      <c r="S44" s="637">
        <f t="shared" si="24"/>
        <v>287</v>
      </c>
      <c r="T44" s="638">
        <f t="shared" si="25"/>
        <v>6475.6299514843959</v>
      </c>
      <c r="U44" s="656"/>
      <c r="V44" s="657"/>
      <c r="W44" s="638">
        <f t="shared" si="26"/>
        <v>539</v>
      </c>
    </row>
    <row r="45" spans="1:23">
      <c r="A45" s="630">
        <v>39</v>
      </c>
      <c r="B45" s="631" t="s">
        <v>131</v>
      </c>
      <c r="C45" s="653">
        <f>'[20]2012 Prelim Summary - 20130603'!E47</f>
        <v>2.7974950000000001</v>
      </c>
      <c r="D45" s="654">
        <f>'Table 3 Levels 1&amp;2'!AP46</f>
        <v>4419.6500082340335</v>
      </c>
      <c r="E45" s="654">
        <f t="shared" si="15"/>
        <v>5817.95735547192</v>
      </c>
      <c r="F45" s="654">
        <f t="shared" si="16"/>
        <v>7288.3047473341148</v>
      </c>
      <c r="G45" s="655">
        <f t="shared" si="17"/>
        <v>20388.996089143449</v>
      </c>
      <c r="H45" s="656"/>
      <c r="I45" s="1090">
        <f>'[21]Oct midyear adj_OJJ'!$I44</f>
        <v>0</v>
      </c>
      <c r="J45" s="655">
        <f t="shared" si="18"/>
        <v>20388.996089143449</v>
      </c>
      <c r="K45" s="655">
        <f t="shared" si="19"/>
        <v>1699</v>
      </c>
      <c r="L45" s="625">
        <f>'Table 3 Levels 1&amp;2'!AS46</f>
        <v>12739289</v>
      </c>
      <c r="M45" s="658">
        <f>'Table 3 Levels 1&amp;2'!C46</f>
        <v>2839</v>
      </c>
      <c r="N45" s="658">
        <f t="shared" si="20"/>
        <v>2841.7974949999998</v>
      </c>
      <c r="O45" s="636">
        <f t="shared" si="21"/>
        <v>4482.8278659595344</v>
      </c>
      <c r="P45" s="637">
        <f t="shared" si="22"/>
        <v>12540.688540882467</v>
      </c>
      <c r="Q45" s="1097">
        <f>'[21]Oct midyear adj_OJJ'!$K44</f>
        <v>0</v>
      </c>
      <c r="R45" s="637">
        <f t="shared" si="23"/>
        <v>12540.688540882467</v>
      </c>
      <c r="S45" s="637">
        <f t="shared" si="24"/>
        <v>1045</v>
      </c>
      <c r="T45" s="638">
        <f t="shared" si="25"/>
        <v>32929.68463002592</v>
      </c>
      <c r="U45" s="656"/>
      <c r="V45" s="657"/>
      <c r="W45" s="638">
        <f t="shared" si="26"/>
        <v>2744</v>
      </c>
    </row>
    <row r="46" spans="1:23">
      <c r="A46" s="641">
        <v>40</v>
      </c>
      <c r="B46" s="642" t="s">
        <v>132</v>
      </c>
      <c r="C46" s="659">
        <f>'[20]2012 Prelim Summary - 20130603'!E48</f>
        <v>6.6463570000000001</v>
      </c>
      <c r="D46" s="660">
        <f>'Table 3 Levels 1&amp;2'!AP47</f>
        <v>5628.7674462701198</v>
      </c>
      <c r="E46" s="660">
        <f t="shared" si="15"/>
        <v>7409.6204236211179</v>
      </c>
      <c r="F46" s="660">
        <f t="shared" si="16"/>
        <v>8879.9678154833127</v>
      </c>
      <c r="G46" s="661">
        <f t="shared" si="17"/>
        <v>59019.436250212224</v>
      </c>
      <c r="H46" s="657"/>
      <c r="I46" s="1091">
        <v>0</v>
      </c>
      <c r="J46" s="661">
        <f t="shared" si="18"/>
        <v>59019.436250212224</v>
      </c>
      <c r="K46" s="661">
        <f t="shared" si="19"/>
        <v>4918</v>
      </c>
      <c r="L46" s="647">
        <f>'Table 3 Levels 1&amp;2'!AS47</f>
        <v>69278485</v>
      </c>
      <c r="M46" s="662">
        <f>'Table 3 Levels 1&amp;2'!C47</f>
        <v>22975</v>
      </c>
      <c r="N46" s="662">
        <f t="shared" si="20"/>
        <v>22981.646357000001</v>
      </c>
      <c r="O46" s="649">
        <f t="shared" si="21"/>
        <v>3014.5135785234288</v>
      </c>
      <c r="P46" s="650">
        <f t="shared" si="22"/>
        <v>20035.533424214242</v>
      </c>
      <c r="Q46" s="1098">
        <v>0</v>
      </c>
      <c r="R46" s="650">
        <f t="shared" si="23"/>
        <v>20035.533424214242</v>
      </c>
      <c r="S46" s="650">
        <f t="shared" si="24"/>
        <v>1670</v>
      </c>
      <c r="T46" s="651">
        <f t="shared" si="25"/>
        <v>79054.969674426466</v>
      </c>
      <c r="U46" s="657"/>
      <c r="V46" s="657"/>
      <c r="W46" s="651">
        <f t="shared" si="26"/>
        <v>6588</v>
      </c>
    </row>
    <row r="47" spans="1:23">
      <c r="A47" s="618">
        <v>41</v>
      </c>
      <c r="B47" s="619" t="s">
        <v>133</v>
      </c>
      <c r="C47" s="663">
        <f>'[20]2012 Prelim Summary - 20130603'!E49</f>
        <v>0</v>
      </c>
      <c r="D47" s="664">
        <f>'Table 3 Levels 1&amp;2'!AP48</f>
        <v>2501.8213465627214</v>
      </c>
      <c r="E47" s="664">
        <f t="shared" si="15"/>
        <v>3293.3580437803053</v>
      </c>
      <c r="F47" s="664">
        <f t="shared" si="16"/>
        <v>4763.7054356424997</v>
      </c>
      <c r="G47" s="665">
        <f t="shared" si="17"/>
        <v>0</v>
      </c>
      <c r="H47" s="656"/>
      <c r="I47" s="1092">
        <f>'[21]Oct midyear adj_OJJ'!$I46</f>
        <v>0</v>
      </c>
      <c r="J47" s="665">
        <f t="shared" si="18"/>
        <v>0</v>
      </c>
      <c r="K47" s="665">
        <f t="shared" si="19"/>
        <v>0</v>
      </c>
      <c r="L47" s="625">
        <f>'Table 3 Levels 1&amp;2'!AS48</f>
        <v>9020746.2599999998</v>
      </c>
      <c r="M47" s="666">
        <f>'Table 3 Levels 1&amp;2'!C48</f>
        <v>1411</v>
      </c>
      <c r="N47" s="666">
        <f t="shared" si="20"/>
        <v>1411</v>
      </c>
      <c r="O47" s="627">
        <f t="shared" si="21"/>
        <v>6393.1582282069448</v>
      </c>
      <c r="P47" s="628">
        <f t="shared" si="22"/>
        <v>0</v>
      </c>
      <c r="Q47" s="1096">
        <f>'[21]Oct midyear adj_OJJ'!$K46</f>
        <v>0</v>
      </c>
      <c r="R47" s="628">
        <f t="shared" si="23"/>
        <v>0</v>
      </c>
      <c r="S47" s="628">
        <f t="shared" si="24"/>
        <v>0</v>
      </c>
      <c r="T47" s="629">
        <f t="shared" si="25"/>
        <v>0</v>
      </c>
      <c r="U47" s="656"/>
      <c r="V47" s="657"/>
      <c r="W47" s="629">
        <f t="shared" si="26"/>
        <v>0</v>
      </c>
    </row>
    <row r="48" spans="1:23">
      <c r="A48" s="630">
        <v>42</v>
      </c>
      <c r="B48" s="631" t="s">
        <v>134</v>
      </c>
      <c r="C48" s="653">
        <f>'[20]2012 Prelim Summary - 20130603'!E50</f>
        <v>0.64480800000000005</v>
      </c>
      <c r="D48" s="654">
        <f>'Table 3 Levels 1&amp;2'!AP49</f>
        <v>5621.7530460987809</v>
      </c>
      <c r="E48" s="654">
        <f t="shared" si="15"/>
        <v>7400.3867781978297</v>
      </c>
      <c r="F48" s="654">
        <f t="shared" si="16"/>
        <v>8870.7341700600246</v>
      </c>
      <c r="G48" s="655">
        <f t="shared" si="17"/>
        <v>5719.9203587280645</v>
      </c>
      <c r="H48" s="656"/>
      <c r="I48" s="1090">
        <f>'[21]Oct midyear adj_OJJ'!$I47</f>
        <v>0</v>
      </c>
      <c r="J48" s="655">
        <f t="shared" si="18"/>
        <v>5719.9203587280645</v>
      </c>
      <c r="K48" s="655">
        <f t="shared" si="19"/>
        <v>477</v>
      </c>
      <c r="L48" s="625">
        <f>'Table 3 Levels 1&amp;2'!AS49</f>
        <v>10131618</v>
      </c>
      <c r="M48" s="658">
        <f>'Table 3 Levels 1&amp;2'!C49</f>
        <v>3442</v>
      </c>
      <c r="N48" s="658">
        <f t="shared" si="20"/>
        <v>3442.644808</v>
      </c>
      <c r="O48" s="636">
        <f t="shared" si="21"/>
        <v>2942.9751150790225</v>
      </c>
      <c r="P48" s="637">
        <f t="shared" si="22"/>
        <v>1897.6538980038745</v>
      </c>
      <c r="Q48" s="1097">
        <f>'[21]Oct midyear adj_OJJ'!$K47</f>
        <v>0</v>
      </c>
      <c r="R48" s="637">
        <f t="shared" si="23"/>
        <v>1897.6538980038745</v>
      </c>
      <c r="S48" s="637">
        <f t="shared" si="24"/>
        <v>158</v>
      </c>
      <c r="T48" s="638">
        <f t="shared" si="25"/>
        <v>7617.5742567319394</v>
      </c>
      <c r="U48" s="656"/>
      <c r="V48" s="657"/>
      <c r="W48" s="638">
        <f t="shared" si="26"/>
        <v>635</v>
      </c>
    </row>
    <row r="49" spans="1:23">
      <c r="A49" s="630">
        <v>43</v>
      </c>
      <c r="B49" s="631" t="s">
        <v>135</v>
      </c>
      <c r="C49" s="653">
        <f>'[20]2012 Prelim Summary - 20130603'!E51</f>
        <v>2.2896169999999998</v>
      </c>
      <c r="D49" s="654">
        <f>'Table 3 Levels 1&amp;2'!AP50</f>
        <v>5292.4514352725037</v>
      </c>
      <c r="E49" s="654">
        <f t="shared" si="15"/>
        <v>6966.8993469971374</v>
      </c>
      <c r="F49" s="654">
        <f t="shared" si="16"/>
        <v>8437.2467388593323</v>
      </c>
      <c r="G49" s="655">
        <f t="shared" si="17"/>
        <v>19318.063566486886</v>
      </c>
      <c r="H49" s="656"/>
      <c r="I49" s="1090">
        <f>'[21]Oct midyear adj_OJJ'!$I48</f>
        <v>0</v>
      </c>
      <c r="J49" s="655">
        <f t="shared" si="18"/>
        <v>19318.063566486886</v>
      </c>
      <c r="K49" s="655">
        <f t="shared" si="19"/>
        <v>1610</v>
      </c>
      <c r="L49" s="625">
        <f>'Table 3 Levels 1&amp;2'!AS50</f>
        <v>15638300.18</v>
      </c>
      <c r="M49" s="658">
        <f>'Table 3 Levels 1&amp;2'!C50</f>
        <v>4023</v>
      </c>
      <c r="N49" s="658">
        <f t="shared" si="20"/>
        <v>4025.2896169999999</v>
      </c>
      <c r="O49" s="636">
        <f t="shared" si="21"/>
        <v>3885.012425927016</v>
      </c>
      <c r="P49" s="637">
        <f t="shared" si="22"/>
        <v>8895.190495613735</v>
      </c>
      <c r="Q49" s="1097">
        <f>'[21]Oct midyear adj_OJJ'!$K48</f>
        <v>0</v>
      </c>
      <c r="R49" s="637">
        <f t="shared" si="23"/>
        <v>8895.190495613735</v>
      </c>
      <c r="S49" s="637">
        <f t="shared" si="24"/>
        <v>741</v>
      </c>
      <c r="T49" s="638">
        <f t="shared" si="25"/>
        <v>28213.254062100619</v>
      </c>
      <c r="U49" s="656"/>
      <c r="V49" s="657"/>
      <c r="W49" s="638">
        <f t="shared" si="26"/>
        <v>2351</v>
      </c>
    </row>
    <row r="50" spans="1:23">
      <c r="A50" s="630">
        <v>44</v>
      </c>
      <c r="B50" s="631" t="s">
        <v>136</v>
      </c>
      <c r="C50" s="653">
        <f>'[20]2012 Prelim Summary - 20130603'!E52</f>
        <v>0.13114799999999999</v>
      </c>
      <c r="D50" s="654">
        <f>'Table 3 Levels 1&amp;2'!AP51</f>
        <v>5359.7821228259063</v>
      </c>
      <c r="E50" s="654">
        <f t="shared" si="15"/>
        <v>7055.5323989742155</v>
      </c>
      <c r="F50" s="654">
        <f t="shared" si="16"/>
        <v>8525.8797908364104</v>
      </c>
      <c r="G50" s="655">
        <f t="shared" si="17"/>
        <v>1118.1520828086134</v>
      </c>
      <c r="H50" s="656"/>
      <c r="I50" s="1090">
        <f>'[21]Oct midyear adj_OJJ'!$I49</f>
        <v>0</v>
      </c>
      <c r="J50" s="655">
        <f t="shared" si="18"/>
        <v>1118.1520828086134</v>
      </c>
      <c r="K50" s="655">
        <f t="shared" si="19"/>
        <v>93</v>
      </c>
      <c r="L50" s="625">
        <f>'Table 3 Levels 1&amp;2'!AS51</f>
        <v>22267752.460000001</v>
      </c>
      <c r="M50" s="658">
        <f>'Table 3 Levels 1&amp;2'!C51</f>
        <v>6380</v>
      </c>
      <c r="N50" s="658">
        <f t="shared" si="20"/>
        <v>6380.1311480000004</v>
      </c>
      <c r="O50" s="636">
        <f t="shared" si="21"/>
        <v>3490.1715879273647</v>
      </c>
      <c r="P50" s="637">
        <f t="shared" si="22"/>
        <v>457.729023413498</v>
      </c>
      <c r="Q50" s="1097">
        <f>'[21]Oct midyear adj_OJJ'!$K49</f>
        <v>0</v>
      </c>
      <c r="R50" s="637">
        <f t="shared" si="23"/>
        <v>457.729023413498</v>
      </c>
      <c r="S50" s="637">
        <f t="shared" si="24"/>
        <v>38</v>
      </c>
      <c r="T50" s="638">
        <f t="shared" si="25"/>
        <v>1575.8811062221114</v>
      </c>
      <c r="U50" s="656"/>
      <c r="V50" s="657"/>
      <c r="W50" s="638">
        <f t="shared" si="26"/>
        <v>131</v>
      </c>
    </row>
    <row r="51" spans="1:23">
      <c r="A51" s="641">
        <v>45</v>
      </c>
      <c r="B51" s="642" t="s">
        <v>137</v>
      </c>
      <c r="C51" s="659">
        <f>'[20]2012 Prelim Summary - 20130603'!E53</f>
        <v>2.1644049999999999</v>
      </c>
      <c r="D51" s="660">
        <f>'Table 3 Levels 1&amp;2'!AP52</f>
        <v>2946.4514538932267</v>
      </c>
      <c r="E51" s="660">
        <f t="shared" si="15"/>
        <v>3878.6620833735697</v>
      </c>
      <c r="F51" s="660">
        <f t="shared" si="16"/>
        <v>5349.0094752357645</v>
      </c>
      <c r="G51" s="661">
        <f t="shared" si="17"/>
        <v>11577.422853247665</v>
      </c>
      <c r="H51" s="657"/>
      <c r="I51" s="1091">
        <f>'[21]Oct midyear adj_OJJ'!$I50</f>
        <v>0</v>
      </c>
      <c r="J51" s="661">
        <f t="shared" si="18"/>
        <v>11577.422853247665</v>
      </c>
      <c r="K51" s="661">
        <f t="shared" si="19"/>
        <v>965</v>
      </c>
      <c r="L51" s="647">
        <f>'Table 3 Levels 1&amp;2'!AS52</f>
        <v>49295937.359999999</v>
      </c>
      <c r="M51" s="662">
        <f>'Table 3 Levels 1&amp;2'!C52</f>
        <v>9478</v>
      </c>
      <c r="N51" s="662">
        <f t="shared" si="20"/>
        <v>9480.1644049999995</v>
      </c>
      <c r="O51" s="649">
        <f t="shared" si="21"/>
        <v>5199.9032141257476</v>
      </c>
      <c r="P51" s="650">
        <f t="shared" si="22"/>
        <v>11254.696516169839</v>
      </c>
      <c r="Q51" s="1098">
        <f>'[21]Oct midyear adj_OJJ'!$K50</f>
        <v>0</v>
      </c>
      <c r="R51" s="650">
        <f t="shared" si="23"/>
        <v>11254.696516169839</v>
      </c>
      <c r="S51" s="650">
        <f t="shared" si="24"/>
        <v>938</v>
      </c>
      <c r="T51" s="651">
        <f t="shared" si="25"/>
        <v>22832.119369417502</v>
      </c>
      <c r="U51" s="657"/>
      <c r="V51" s="657"/>
      <c r="W51" s="651">
        <f t="shared" si="26"/>
        <v>1903</v>
      </c>
    </row>
    <row r="52" spans="1:23">
      <c r="A52" s="618">
        <v>46</v>
      </c>
      <c r="B52" s="619" t="s">
        <v>138</v>
      </c>
      <c r="C52" s="663">
        <f>'[20]2012 Prelim Summary - 20130603'!E54</f>
        <v>0</v>
      </c>
      <c r="D52" s="664">
        <f>'Table 3 Levels 1&amp;2'!AP53</f>
        <v>6372.7199115241629</v>
      </c>
      <c r="E52" s="664">
        <f t="shared" si="15"/>
        <v>8388.9476801419769</v>
      </c>
      <c r="F52" s="664">
        <f t="shared" si="16"/>
        <v>9859.2950720041717</v>
      </c>
      <c r="G52" s="665">
        <f t="shared" si="17"/>
        <v>0</v>
      </c>
      <c r="H52" s="656"/>
      <c r="I52" s="1092">
        <f>'[21]Oct midyear adj_OJJ'!$I51</f>
        <v>0</v>
      </c>
      <c r="J52" s="665">
        <f t="shared" si="18"/>
        <v>0</v>
      </c>
      <c r="K52" s="665">
        <f t="shared" si="19"/>
        <v>0</v>
      </c>
      <c r="L52" s="625">
        <f>'Table 3 Levels 1&amp;2'!AS53</f>
        <v>2157106</v>
      </c>
      <c r="M52" s="666">
        <f>'Table 3 Levels 1&amp;2'!C53</f>
        <v>1076</v>
      </c>
      <c r="N52" s="666">
        <f t="shared" si="20"/>
        <v>1076</v>
      </c>
      <c r="O52" s="627">
        <f t="shared" si="21"/>
        <v>2004.7453531598512</v>
      </c>
      <c r="P52" s="628">
        <f t="shared" si="22"/>
        <v>0</v>
      </c>
      <c r="Q52" s="1096">
        <f>'[21]Oct midyear adj_OJJ'!$K51</f>
        <v>0</v>
      </c>
      <c r="R52" s="628">
        <f t="shared" si="23"/>
        <v>0</v>
      </c>
      <c r="S52" s="628">
        <f t="shared" si="24"/>
        <v>0</v>
      </c>
      <c r="T52" s="629">
        <f t="shared" si="25"/>
        <v>0</v>
      </c>
      <c r="U52" s="656"/>
      <c r="V52" s="657"/>
      <c r="W52" s="629">
        <f t="shared" si="26"/>
        <v>0</v>
      </c>
    </row>
    <row r="53" spans="1:23">
      <c r="A53" s="630">
        <v>47</v>
      </c>
      <c r="B53" s="631" t="s">
        <v>139</v>
      </c>
      <c r="C53" s="653">
        <f>'[20]2012 Prelim Summary - 20130603'!E55</f>
        <v>0</v>
      </c>
      <c r="D53" s="654">
        <f>'Table 3 Levels 1&amp;2'!AP54</f>
        <v>3642.0044076222039</v>
      </c>
      <c r="E53" s="654">
        <f t="shared" si="15"/>
        <v>4794.2769885648222</v>
      </c>
      <c r="F53" s="654">
        <f t="shared" si="16"/>
        <v>6264.6243804270171</v>
      </c>
      <c r="G53" s="655">
        <f t="shared" si="17"/>
        <v>0</v>
      </c>
      <c r="H53" s="656"/>
      <c r="I53" s="1090">
        <f>'[21]Oct midyear adj_OJJ'!$I52</f>
        <v>0</v>
      </c>
      <c r="J53" s="655">
        <f t="shared" si="18"/>
        <v>0</v>
      </c>
      <c r="K53" s="655">
        <f t="shared" si="19"/>
        <v>0</v>
      </c>
      <c r="L53" s="625">
        <f>'Table 3 Levels 1&amp;2'!AS54</f>
        <v>19981967.98</v>
      </c>
      <c r="M53" s="658">
        <f>'Table 3 Levels 1&amp;2'!C54</f>
        <v>3621</v>
      </c>
      <c r="N53" s="658">
        <f t="shared" si="20"/>
        <v>3621</v>
      </c>
      <c r="O53" s="636">
        <f t="shared" si="21"/>
        <v>5518.356249654792</v>
      </c>
      <c r="P53" s="637">
        <f t="shared" si="22"/>
        <v>0</v>
      </c>
      <c r="Q53" s="1097">
        <f>'[21]Oct midyear adj_OJJ'!$K52</f>
        <v>0</v>
      </c>
      <c r="R53" s="637">
        <f t="shared" si="23"/>
        <v>0</v>
      </c>
      <c r="S53" s="637">
        <f t="shared" si="24"/>
        <v>0</v>
      </c>
      <c r="T53" s="638">
        <f t="shared" si="25"/>
        <v>0</v>
      </c>
      <c r="U53" s="656"/>
      <c r="V53" s="657"/>
      <c r="W53" s="638">
        <f t="shared" si="26"/>
        <v>0</v>
      </c>
    </row>
    <row r="54" spans="1:23">
      <c r="A54" s="630">
        <v>48</v>
      </c>
      <c r="B54" s="631" t="s">
        <v>197</v>
      </c>
      <c r="C54" s="653">
        <f>'[20]2012 Prelim Summary - 20130603'!E56</f>
        <v>0.94505499999999998</v>
      </c>
      <c r="D54" s="654">
        <f>'Table 3 Levels 1&amp;2'!AP55</f>
        <v>5143.7933230839426</v>
      </c>
      <c r="E54" s="654">
        <f t="shared" si="15"/>
        <v>6771.208159765868</v>
      </c>
      <c r="F54" s="654">
        <f t="shared" si="16"/>
        <v>8241.5555516280619</v>
      </c>
      <c r="G54" s="655">
        <f t="shared" si="17"/>
        <v>7788.7232818438579</v>
      </c>
      <c r="H54" s="656"/>
      <c r="I54" s="1090">
        <f>'[21]Oct midyear adj_OJJ'!$I53</f>
        <v>0</v>
      </c>
      <c r="J54" s="655">
        <f t="shared" si="18"/>
        <v>7788.7232818438579</v>
      </c>
      <c r="K54" s="655">
        <f t="shared" si="19"/>
        <v>649</v>
      </c>
      <c r="L54" s="625">
        <f>'Table 3 Levels 1&amp;2'!AS55</f>
        <v>25115865.600000001</v>
      </c>
      <c r="M54" s="658">
        <f>'Table 3 Levels 1&amp;2'!C55</f>
        <v>5804</v>
      </c>
      <c r="N54" s="658">
        <f t="shared" si="20"/>
        <v>5804.9450550000001</v>
      </c>
      <c r="O54" s="636">
        <f t="shared" si="21"/>
        <v>4326.6327867077462</v>
      </c>
      <c r="P54" s="637">
        <f t="shared" si="22"/>
        <v>4088.9059482420889</v>
      </c>
      <c r="Q54" s="1097">
        <f>'[21]Oct midyear adj_OJJ'!$K53</f>
        <v>0</v>
      </c>
      <c r="R54" s="637">
        <f t="shared" si="23"/>
        <v>4088.9059482420889</v>
      </c>
      <c r="S54" s="637">
        <f t="shared" si="24"/>
        <v>341</v>
      </c>
      <c r="T54" s="638">
        <f t="shared" si="25"/>
        <v>11877.629230085946</v>
      </c>
      <c r="U54" s="656"/>
      <c r="V54" s="657"/>
      <c r="W54" s="638">
        <f t="shared" si="26"/>
        <v>990</v>
      </c>
    </row>
    <row r="55" spans="1:23">
      <c r="A55" s="630">
        <v>49</v>
      </c>
      <c r="B55" s="631" t="s">
        <v>140</v>
      </c>
      <c r="C55" s="653">
        <f>'[20]2012 Prelim Summary - 20130603'!E57</f>
        <v>6.9693930000000002</v>
      </c>
      <c r="D55" s="654">
        <f>'Table 3 Levels 1&amp;2'!AP56</f>
        <v>5411.1492570332557</v>
      </c>
      <c r="E55" s="654">
        <f t="shared" si="15"/>
        <v>7123.1512818573365</v>
      </c>
      <c r="F55" s="654">
        <f t="shared" si="16"/>
        <v>8593.4986737195322</v>
      </c>
      <c r="G55" s="655">
        <f t="shared" si="17"/>
        <v>59891.469502130196</v>
      </c>
      <c r="H55" s="656"/>
      <c r="I55" s="1090">
        <v>0</v>
      </c>
      <c r="J55" s="655">
        <f t="shared" si="18"/>
        <v>59891.469502130196</v>
      </c>
      <c r="K55" s="655">
        <f t="shared" si="19"/>
        <v>4991</v>
      </c>
      <c r="L55" s="625">
        <f>'Table 3 Levels 1&amp;2'!AS56</f>
        <v>34750059</v>
      </c>
      <c r="M55" s="658">
        <f>'Table 3 Levels 1&amp;2'!C56</f>
        <v>14494</v>
      </c>
      <c r="N55" s="658">
        <f t="shared" si="20"/>
        <v>14500.969392999999</v>
      </c>
      <c r="O55" s="636">
        <f t="shared" si="21"/>
        <v>2396.395582820468</v>
      </c>
      <c r="P55" s="637">
        <f t="shared" si="22"/>
        <v>16701.422600139889</v>
      </c>
      <c r="Q55" s="1097">
        <v>0</v>
      </c>
      <c r="R55" s="637">
        <f t="shared" si="23"/>
        <v>16701.422600139889</v>
      </c>
      <c r="S55" s="637">
        <f t="shared" si="24"/>
        <v>1392</v>
      </c>
      <c r="T55" s="638">
        <f t="shared" si="25"/>
        <v>76592.892102270082</v>
      </c>
      <c r="U55" s="656"/>
      <c r="V55" s="657"/>
      <c r="W55" s="638">
        <f t="shared" si="26"/>
        <v>6383</v>
      </c>
    </row>
    <row r="56" spans="1:23">
      <c r="A56" s="641">
        <v>50</v>
      </c>
      <c r="B56" s="642" t="s">
        <v>141</v>
      </c>
      <c r="C56" s="659">
        <f>'[20]2012 Prelim Summary - 20130603'!E58</f>
        <v>3.7639999999999998</v>
      </c>
      <c r="D56" s="660">
        <f>'Table 3 Levels 1&amp;2'!AP57</f>
        <v>5667.1462895017121</v>
      </c>
      <c r="E56" s="660">
        <f t="shared" si="15"/>
        <v>7460.1417257282419</v>
      </c>
      <c r="F56" s="660">
        <f t="shared" si="16"/>
        <v>8930.4891175904377</v>
      </c>
      <c r="G56" s="661">
        <f t="shared" si="17"/>
        <v>33614.361038610405</v>
      </c>
      <c r="H56" s="657"/>
      <c r="I56" s="1091">
        <f>'[21]Oct midyear adj_OJJ'!$I55</f>
        <v>0</v>
      </c>
      <c r="J56" s="661">
        <f t="shared" si="18"/>
        <v>33614.361038610405</v>
      </c>
      <c r="K56" s="661">
        <f t="shared" si="19"/>
        <v>2801</v>
      </c>
      <c r="L56" s="647">
        <f>'Table 3 Levels 1&amp;2'!AS57</f>
        <v>22744499.5</v>
      </c>
      <c r="M56" s="662">
        <f>'Table 3 Levels 1&amp;2'!C57</f>
        <v>7887</v>
      </c>
      <c r="N56" s="662">
        <f t="shared" si="20"/>
        <v>7890.7640000000001</v>
      </c>
      <c r="O56" s="649">
        <f t="shared" si="21"/>
        <v>2882.4204475003939</v>
      </c>
      <c r="P56" s="650">
        <f t="shared" si="22"/>
        <v>10849.430564391481</v>
      </c>
      <c r="Q56" s="1098">
        <f>'[21]Oct midyear adj_OJJ'!$K55</f>
        <v>0</v>
      </c>
      <c r="R56" s="650">
        <f t="shared" si="23"/>
        <v>10849.430564391481</v>
      </c>
      <c r="S56" s="650">
        <f t="shared" si="24"/>
        <v>904</v>
      </c>
      <c r="T56" s="651">
        <f t="shared" si="25"/>
        <v>44463.791603001882</v>
      </c>
      <c r="U56" s="657"/>
      <c r="V56" s="657"/>
      <c r="W56" s="651">
        <f t="shared" si="26"/>
        <v>3705</v>
      </c>
    </row>
    <row r="57" spans="1:23">
      <c r="A57" s="618">
        <v>51</v>
      </c>
      <c r="B57" s="619" t="s">
        <v>142</v>
      </c>
      <c r="C57" s="663">
        <f>'[20]2012 Prelim Summary - 20130603'!E59</f>
        <v>2.7719999999999998</v>
      </c>
      <c r="D57" s="664">
        <f>'Table 3 Levels 1&amp;2'!AP58</f>
        <v>4952.69398727936</v>
      </c>
      <c r="E57" s="664">
        <f t="shared" si="15"/>
        <v>6519.6480171530557</v>
      </c>
      <c r="F57" s="664">
        <f t="shared" si="16"/>
        <v>7989.9954090152505</v>
      </c>
      <c r="G57" s="665">
        <f t="shared" si="17"/>
        <v>22148.267273790272</v>
      </c>
      <c r="H57" s="656"/>
      <c r="I57" s="1092">
        <f>'[21]Oct midyear adj_OJJ'!$I56</f>
        <v>0</v>
      </c>
      <c r="J57" s="665">
        <f t="shared" si="18"/>
        <v>22148.267273790272</v>
      </c>
      <c r="K57" s="665">
        <f t="shared" si="19"/>
        <v>1846</v>
      </c>
      <c r="L57" s="625">
        <f>'Table 3 Levels 1&amp;2'!AS58</f>
        <v>35808172.399999999</v>
      </c>
      <c r="M57" s="666">
        <f>'Table 3 Levels 1&amp;2'!C58</f>
        <v>8997</v>
      </c>
      <c r="N57" s="666">
        <f t="shared" si="20"/>
        <v>8999.7720000000008</v>
      </c>
      <c r="O57" s="627">
        <f t="shared" si="21"/>
        <v>3978.7866181498816</v>
      </c>
      <c r="P57" s="628">
        <f t="shared" si="22"/>
        <v>11029.196505511471</v>
      </c>
      <c r="Q57" s="1096">
        <f>'[21]Oct midyear adj_OJJ'!$K56</f>
        <v>0</v>
      </c>
      <c r="R57" s="628">
        <f t="shared" si="23"/>
        <v>11029.196505511471</v>
      </c>
      <c r="S57" s="628">
        <f t="shared" si="24"/>
        <v>919</v>
      </c>
      <c r="T57" s="629">
        <f t="shared" si="25"/>
        <v>33177.463779301746</v>
      </c>
      <c r="U57" s="656"/>
      <c r="V57" s="657"/>
      <c r="W57" s="629">
        <f t="shared" si="26"/>
        <v>2765</v>
      </c>
    </row>
    <row r="58" spans="1:23">
      <c r="A58" s="630">
        <v>52</v>
      </c>
      <c r="B58" s="631" t="s">
        <v>143</v>
      </c>
      <c r="C58" s="653">
        <f>'[20]2012 Prelim Summary - 20130603'!E60</f>
        <v>12.185319</v>
      </c>
      <c r="D58" s="654">
        <f>'Table 3 Levels 1&amp;2'!AP59</f>
        <v>5671.8138050113248</v>
      </c>
      <c r="E58" s="654">
        <f t="shared" si="15"/>
        <v>7466.285969308693</v>
      </c>
      <c r="F58" s="654">
        <f t="shared" si="16"/>
        <v>8936.6333611708869</v>
      </c>
      <c r="G58" s="655">
        <f t="shared" si="17"/>
        <v>108895.72829190947</v>
      </c>
      <c r="H58" s="656"/>
      <c r="I58" s="1090">
        <f>'[21]Oct midyear adj_OJJ'!$I57</f>
        <v>0</v>
      </c>
      <c r="J58" s="655">
        <f t="shared" si="18"/>
        <v>108895.72829190947</v>
      </c>
      <c r="K58" s="655">
        <f t="shared" si="19"/>
        <v>9075</v>
      </c>
      <c r="L58" s="625">
        <f>'Table 3 Levels 1&amp;2'!AS59</f>
        <v>129961691.84</v>
      </c>
      <c r="M58" s="658">
        <f>'Table 3 Levels 1&amp;2'!C59</f>
        <v>37078</v>
      </c>
      <c r="N58" s="658">
        <f t="shared" si="20"/>
        <v>37090.185318999997</v>
      </c>
      <c r="O58" s="636">
        <f>L58/N58</f>
        <v>3503.9375166838327</v>
      </c>
      <c r="P58" s="637">
        <f t="shared" si="22"/>
        <v>42696.596396860325</v>
      </c>
      <c r="Q58" s="1097">
        <f>'[21]Oct midyear adj_OJJ'!$K57</f>
        <v>0</v>
      </c>
      <c r="R58" s="637">
        <f t="shared" si="23"/>
        <v>42696.596396860325</v>
      </c>
      <c r="S58" s="637">
        <f t="shared" si="24"/>
        <v>3558</v>
      </c>
      <c r="T58" s="638">
        <f t="shared" si="25"/>
        <v>151592.32468876979</v>
      </c>
      <c r="U58" s="656"/>
      <c r="V58" s="657"/>
      <c r="W58" s="638">
        <f t="shared" si="26"/>
        <v>12633</v>
      </c>
    </row>
    <row r="59" spans="1:23">
      <c r="A59" s="630">
        <v>53</v>
      </c>
      <c r="B59" s="631" t="s">
        <v>144</v>
      </c>
      <c r="C59" s="653">
        <f>'[20]2012 Prelim Summary - 20130603'!E61</f>
        <v>7.5498589999999997</v>
      </c>
      <c r="D59" s="654">
        <f>'Table 3 Levels 1&amp;2'!AP60</f>
        <v>5465.3277635581089</v>
      </c>
      <c r="E59" s="654">
        <f t="shared" si="15"/>
        <v>7194.4710107855335</v>
      </c>
      <c r="F59" s="654">
        <f t="shared" si="16"/>
        <v>8664.8184026477284</v>
      </c>
      <c r="G59" s="655">
        <f t="shared" si="17"/>
        <v>65418.157200595575</v>
      </c>
      <c r="H59" s="656"/>
      <c r="I59" s="1090">
        <f>'[21]Oct midyear adj_OJJ'!$I58</f>
        <v>0</v>
      </c>
      <c r="J59" s="655">
        <f t="shared" si="18"/>
        <v>65418.157200595575</v>
      </c>
      <c r="K59" s="655">
        <f t="shared" si="19"/>
        <v>5452</v>
      </c>
      <c r="L59" s="625">
        <f>'Table 3 Levels 1&amp;2'!AS60</f>
        <v>37298233</v>
      </c>
      <c r="M59" s="658">
        <f>'Table 3 Levels 1&amp;2'!C60</f>
        <v>19145</v>
      </c>
      <c r="N59" s="658">
        <f t="shared" si="20"/>
        <v>19152.549858999999</v>
      </c>
      <c r="O59" s="636">
        <f t="shared" si="21"/>
        <v>1947.4291034137755</v>
      </c>
      <c r="P59" s="637">
        <f t="shared" si="22"/>
        <v>14702.815143270424</v>
      </c>
      <c r="Q59" s="1097">
        <f>'[21]Oct midyear adj_OJJ'!$K58</f>
        <v>0</v>
      </c>
      <c r="R59" s="637">
        <f t="shared" si="23"/>
        <v>14702.815143270424</v>
      </c>
      <c r="S59" s="637">
        <f t="shared" si="24"/>
        <v>1225</v>
      </c>
      <c r="T59" s="638">
        <f t="shared" si="25"/>
        <v>80120.972343866</v>
      </c>
      <c r="U59" s="656"/>
      <c r="V59" s="657"/>
      <c r="W59" s="638">
        <f t="shared" si="26"/>
        <v>6677</v>
      </c>
    </row>
    <row r="60" spans="1:23">
      <c r="A60" s="630">
        <v>54</v>
      </c>
      <c r="B60" s="631" t="s">
        <v>145</v>
      </c>
      <c r="C60" s="653">
        <f>'[20]2012 Prelim Summary - 20130603'!E62</f>
        <v>2.5245899999999999</v>
      </c>
      <c r="D60" s="654">
        <f>'Table 3 Levels 1&amp;2'!AP61</f>
        <v>6903.250938627566</v>
      </c>
      <c r="E60" s="654">
        <f t="shared" si="15"/>
        <v>9087.3303316396778</v>
      </c>
      <c r="F60" s="654">
        <f t="shared" si="16"/>
        <v>10557.677723501873</v>
      </c>
      <c r="G60" s="655">
        <f t="shared" si="17"/>
        <v>26653.807603975591</v>
      </c>
      <c r="H60" s="656"/>
      <c r="I60" s="1090">
        <f>'[21]Oct midyear adj_OJJ'!$I59</f>
        <v>0</v>
      </c>
      <c r="J60" s="655">
        <f t="shared" si="18"/>
        <v>26653.807603975591</v>
      </c>
      <c r="K60" s="655">
        <f t="shared" si="19"/>
        <v>2221</v>
      </c>
      <c r="L60" s="625">
        <f>'Table 3 Levels 1&amp;2'!AS61</f>
        <v>2396074.5</v>
      </c>
      <c r="M60" s="658">
        <f>'Table 3 Levels 1&amp;2'!C61</f>
        <v>682</v>
      </c>
      <c r="N60" s="658">
        <f t="shared" si="20"/>
        <v>684.52458999999999</v>
      </c>
      <c r="O60" s="636">
        <f t="shared" si="21"/>
        <v>3500.3483220376352</v>
      </c>
      <c r="P60" s="637">
        <f t="shared" si="22"/>
        <v>8836.9443703329925</v>
      </c>
      <c r="Q60" s="1097">
        <f>'[21]Oct midyear adj_OJJ'!$K59</f>
        <v>0</v>
      </c>
      <c r="R60" s="637">
        <f t="shared" si="23"/>
        <v>8836.9443703329925</v>
      </c>
      <c r="S60" s="637">
        <f t="shared" si="24"/>
        <v>736</v>
      </c>
      <c r="T60" s="638">
        <f t="shared" si="25"/>
        <v>35490.751974308587</v>
      </c>
      <c r="U60" s="656"/>
      <c r="V60" s="657"/>
      <c r="W60" s="638">
        <f t="shared" si="26"/>
        <v>2957</v>
      </c>
    </row>
    <row r="61" spans="1:23">
      <c r="A61" s="641">
        <v>55</v>
      </c>
      <c r="B61" s="642" t="s">
        <v>146</v>
      </c>
      <c r="C61" s="659">
        <f>'[20]2012 Prelim Summary - 20130603'!E63</f>
        <v>12.250491999999999</v>
      </c>
      <c r="D61" s="660">
        <f>'Table 3 Levels 1&amp;2'!AP62</f>
        <v>4966.183473523316</v>
      </c>
      <c r="E61" s="660">
        <f t="shared" si="15"/>
        <v>6537.4053634515967</v>
      </c>
      <c r="F61" s="660">
        <f t="shared" si="16"/>
        <v>8007.7527553137916</v>
      </c>
      <c r="G61" s="661">
        <f t="shared" si="17"/>
        <v>98098.911066949557</v>
      </c>
      <c r="H61" s="657"/>
      <c r="I61" s="1091">
        <v>0</v>
      </c>
      <c r="J61" s="661">
        <f t="shared" si="18"/>
        <v>98098.911066949557</v>
      </c>
      <c r="K61" s="661">
        <f t="shared" si="19"/>
        <v>8175</v>
      </c>
      <c r="L61" s="647">
        <f>'Table 3 Levels 1&amp;2'!AS62</f>
        <v>56116188.5</v>
      </c>
      <c r="M61" s="662">
        <f>'Table 3 Levels 1&amp;2'!C62</f>
        <v>17756</v>
      </c>
      <c r="N61" s="662">
        <f t="shared" si="20"/>
        <v>17768.250491999999</v>
      </c>
      <c r="O61" s="649">
        <f t="shared" si="21"/>
        <v>3158.2281286087127</v>
      </c>
      <c r="P61" s="650">
        <f t="shared" si="22"/>
        <v>38689.848423696007</v>
      </c>
      <c r="Q61" s="1098">
        <v>0</v>
      </c>
      <c r="R61" s="650">
        <f t="shared" si="23"/>
        <v>38689.848423696007</v>
      </c>
      <c r="S61" s="650">
        <f t="shared" si="24"/>
        <v>3224</v>
      </c>
      <c r="T61" s="651">
        <f t="shared" si="25"/>
        <v>136788.75949064555</v>
      </c>
      <c r="U61" s="657"/>
      <c r="V61" s="657"/>
      <c r="W61" s="651">
        <f t="shared" si="26"/>
        <v>11399</v>
      </c>
    </row>
    <row r="62" spans="1:23">
      <c r="A62" s="618">
        <v>56</v>
      </c>
      <c r="B62" s="619" t="s">
        <v>147</v>
      </c>
      <c r="C62" s="663">
        <f>'[20]2012 Prelim Summary - 20130603'!E64</f>
        <v>0</v>
      </c>
      <c r="D62" s="664">
        <f>'Table 3 Levels 1&amp;2'!AP63</f>
        <v>5583.2531896727278</v>
      </c>
      <c r="E62" s="664">
        <f t="shared" si="15"/>
        <v>7349.7061762358508</v>
      </c>
      <c r="F62" s="664">
        <f t="shared" si="16"/>
        <v>8820.0535680980465</v>
      </c>
      <c r="G62" s="665">
        <f t="shared" si="17"/>
        <v>0</v>
      </c>
      <c r="H62" s="656"/>
      <c r="I62" s="1092">
        <f>'[21]Oct midyear adj_OJJ'!$I61</f>
        <v>0</v>
      </c>
      <c r="J62" s="665">
        <f t="shared" si="18"/>
        <v>0</v>
      </c>
      <c r="K62" s="665">
        <f t="shared" si="19"/>
        <v>0</v>
      </c>
      <c r="L62" s="625">
        <f>'Table 3 Levels 1&amp;2'!AS63</f>
        <v>8175594</v>
      </c>
      <c r="M62" s="666">
        <f>'Table 3 Levels 1&amp;2'!C63</f>
        <v>2860</v>
      </c>
      <c r="N62" s="666">
        <f t="shared" si="20"/>
        <v>2860</v>
      </c>
      <c r="O62" s="627">
        <f t="shared" si="21"/>
        <v>2858.5993006993008</v>
      </c>
      <c r="P62" s="628">
        <f t="shared" si="22"/>
        <v>0</v>
      </c>
      <c r="Q62" s="1096">
        <f>'[21]Oct midyear adj_OJJ'!$K61</f>
        <v>0</v>
      </c>
      <c r="R62" s="628">
        <f t="shared" si="23"/>
        <v>0</v>
      </c>
      <c r="S62" s="628">
        <f t="shared" si="24"/>
        <v>0</v>
      </c>
      <c r="T62" s="629">
        <f t="shared" si="25"/>
        <v>0</v>
      </c>
      <c r="U62" s="656"/>
      <c r="V62" s="657"/>
      <c r="W62" s="629">
        <f t="shared" si="26"/>
        <v>0</v>
      </c>
    </row>
    <row r="63" spans="1:23">
      <c r="A63" s="630">
        <v>57</v>
      </c>
      <c r="B63" s="631" t="s">
        <v>148</v>
      </c>
      <c r="C63" s="653">
        <f>'[20]2012 Prelim Summary - 20130603'!E65</f>
        <v>2.4618609999999999</v>
      </c>
      <c r="D63" s="654">
        <f>'Table 3 Levels 1&amp;2'!AP64</f>
        <v>5250.2173020218852</v>
      </c>
      <c r="E63" s="654">
        <f t="shared" si="15"/>
        <v>6911.3030020966062</v>
      </c>
      <c r="F63" s="654">
        <f t="shared" si="16"/>
        <v>8381.6503939588001</v>
      </c>
      <c r="G63" s="655">
        <f t="shared" si="17"/>
        <v>20634.458220521803</v>
      </c>
      <c r="H63" s="656"/>
      <c r="I63" s="1090">
        <f>'[21]Oct midyear adj_OJJ'!$I62</f>
        <v>0</v>
      </c>
      <c r="J63" s="655">
        <f t="shared" si="18"/>
        <v>20634.458220521803</v>
      </c>
      <c r="K63" s="655">
        <f t="shared" si="19"/>
        <v>1720</v>
      </c>
      <c r="L63" s="625">
        <f>'Table 3 Levels 1&amp;2'!AS64</f>
        <v>25760842</v>
      </c>
      <c r="M63" s="658">
        <f>'Table 3 Levels 1&amp;2'!C64</f>
        <v>9047</v>
      </c>
      <c r="N63" s="658">
        <f t="shared" si="20"/>
        <v>9049.4618609999998</v>
      </c>
      <c r="O63" s="636">
        <f t="shared" si="21"/>
        <v>2846.6711496978814</v>
      </c>
      <c r="P63" s="637">
        <f t="shared" si="22"/>
        <v>7008.1086832663759</v>
      </c>
      <c r="Q63" s="1097">
        <f>'[21]Oct midyear adj_OJJ'!$K62</f>
        <v>0</v>
      </c>
      <c r="R63" s="637">
        <f t="shared" si="23"/>
        <v>7008.1086832663759</v>
      </c>
      <c r="S63" s="637">
        <f t="shared" si="24"/>
        <v>584</v>
      </c>
      <c r="T63" s="638">
        <f t="shared" si="25"/>
        <v>27642.566903788178</v>
      </c>
      <c r="U63" s="656"/>
      <c r="V63" s="657"/>
      <c r="W63" s="638">
        <f t="shared" si="26"/>
        <v>2304</v>
      </c>
    </row>
    <row r="64" spans="1:23">
      <c r="A64" s="630">
        <v>58</v>
      </c>
      <c r="B64" s="631" t="s">
        <v>149</v>
      </c>
      <c r="C64" s="653">
        <f>'[20]2012 Prelim Summary - 20130603'!E66</f>
        <v>0.65200000000000002</v>
      </c>
      <c r="D64" s="654">
        <f>'Table 3 Levels 1&amp;2'!AP65</f>
        <v>6154.9062803476354</v>
      </c>
      <c r="E64" s="654">
        <f t="shared" si="15"/>
        <v>8102.2212617005598</v>
      </c>
      <c r="F64" s="654">
        <f t="shared" si="16"/>
        <v>9572.5686535627538</v>
      </c>
      <c r="G64" s="655">
        <f t="shared" si="17"/>
        <v>6241.3147621229155</v>
      </c>
      <c r="H64" s="656"/>
      <c r="I64" s="1090">
        <f>'[21]Oct midyear adj_OJJ'!$I63</f>
        <v>0</v>
      </c>
      <c r="J64" s="655">
        <f t="shared" si="18"/>
        <v>6241.3147621229155</v>
      </c>
      <c r="K64" s="655">
        <f t="shared" si="19"/>
        <v>520</v>
      </c>
      <c r="L64" s="625">
        <f>'Table 3 Levels 1&amp;2'!AS65</f>
        <v>19717004</v>
      </c>
      <c r="M64" s="658">
        <f>'Table 3 Levels 1&amp;2'!C65</f>
        <v>9090</v>
      </c>
      <c r="N64" s="658">
        <f t="shared" si="20"/>
        <v>9090.652</v>
      </c>
      <c r="O64" s="636">
        <f t="shared" si="21"/>
        <v>2168.9317773906646</v>
      </c>
      <c r="P64" s="637">
        <f t="shared" si="22"/>
        <v>1414.1435188587134</v>
      </c>
      <c r="Q64" s="1097">
        <f>'[21]Oct midyear adj_OJJ'!$K63</f>
        <v>0</v>
      </c>
      <c r="R64" s="637">
        <f t="shared" si="23"/>
        <v>1414.1435188587134</v>
      </c>
      <c r="S64" s="637">
        <f t="shared" si="24"/>
        <v>118</v>
      </c>
      <c r="T64" s="638">
        <f t="shared" si="25"/>
        <v>7655.4582809816293</v>
      </c>
      <c r="U64" s="656"/>
      <c r="V64" s="657"/>
      <c r="W64" s="638">
        <f t="shared" si="26"/>
        <v>638</v>
      </c>
    </row>
    <row r="65" spans="1:23">
      <c r="A65" s="630">
        <v>59</v>
      </c>
      <c r="B65" s="631" t="s">
        <v>150</v>
      </c>
      <c r="C65" s="653">
        <f>'[20]2012 Prelim Summary - 20130603'!E67</f>
        <v>3.2474289999999999</v>
      </c>
      <c r="D65" s="654">
        <f>'Table 3 Levels 1&amp;2'!AP66</f>
        <v>6963.7986338006476</v>
      </c>
      <c r="E65" s="654">
        <f t="shared" si="15"/>
        <v>9167.0343597488754</v>
      </c>
      <c r="F65" s="654">
        <f t="shared" si="16"/>
        <v>10637.38175161107</v>
      </c>
      <c r="G65" s="655">
        <f t="shared" si="17"/>
        <v>34544.141984252587</v>
      </c>
      <c r="H65" s="656"/>
      <c r="I65" s="1090">
        <f>'[21]Oct midyear adj_OJJ'!$I64</f>
        <v>0</v>
      </c>
      <c r="J65" s="655">
        <f t="shared" si="18"/>
        <v>34544.141984252587</v>
      </c>
      <c r="K65" s="655">
        <f t="shared" si="19"/>
        <v>2879</v>
      </c>
      <c r="L65" s="625">
        <f>'Table 3 Levels 1&amp;2'!AS66</f>
        <v>8225589</v>
      </c>
      <c r="M65" s="658">
        <f>'Table 3 Levels 1&amp;2'!C66</f>
        <v>5247</v>
      </c>
      <c r="N65" s="658">
        <f t="shared" si="20"/>
        <v>5250.247429</v>
      </c>
      <c r="O65" s="636">
        <f t="shared" si="21"/>
        <v>1566.7050193797638</v>
      </c>
      <c r="P65" s="637">
        <f t="shared" si="22"/>
        <v>5087.7633143794073</v>
      </c>
      <c r="Q65" s="1097">
        <f>'[21]Oct midyear adj_OJJ'!$K64</f>
        <v>0</v>
      </c>
      <c r="R65" s="637">
        <f t="shared" si="23"/>
        <v>5087.7633143794073</v>
      </c>
      <c r="S65" s="637">
        <f t="shared" si="24"/>
        <v>424</v>
      </c>
      <c r="T65" s="638">
        <f t="shared" si="25"/>
        <v>39631.905298631995</v>
      </c>
      <c r="U65" s="656"/>
      <c r="V65" s="657"/>
      <c r="W65" s="638">
        <f t="shared" si="26"/>
        <v>3303</v>
      </c>
    </row>
    <row r="66" spans="1:23">
      <c r="A66" s="641">
        <v>60</v>
      </c>
      <c r="B66" s="642" t="s">
        <v>151</v>
      </c>
      <c r="C66" s="659">
        <f>'[20]2012 Prelim Summary - 20130603'!E68</f>
        <v>3.8333550000000001</v>
      </c>
      <c r="D66" s="660">
        <f>'Table 3 Levels 1&amp;2'!AP67</f>
        <v>5534.956677561041</v>
      </c>
      <c r="E66" s="660">
        <f t="shared" si="15"/>
        <v>7286.1294117046473</v>
      </c>
      <c r="F66" s="660">
        <f t="shared" si="16"/>
        <v>8756.4768035668421</v>
      </c>
      <c r="G66" s="661">
        <f t="shared" si="17"/>
        <v>33566.684137336975</v>
      </c>
      <c r="H66" s="657"/>
      <c r="I66" s="1091">
        <f>'[21]Oct midyear adj_OJJ'!$I65</f>
        <v>0</v>
      </c>
      <c r="J66" s="661">
        <f t="shared" si="18"/>
        <v>33566.684137336975</v>
      </c>
      <c r="K66" s="661">
        <f t="shared" si="19"/>
        <v>2797</v>
      </c>
      <c r="L66" s="647">
        <f>'Table 3 Levels 1&amp;2'!AS67</f>
        <v>21611450.940000001</v>
      </c>
      <c r="M66" s="662">
        <f>'Table 3 Levels 1&amp;2'!C67</f>
        <v>6493</v>
      </c>
      <c r="N66" s="662">
        <f t="shared" si="20"/>
        <v>6496.8333549999998</v>
      </c>
      <c r="O66" s="649">
        <f t="shared" si="21"/>
        <v>3326.4591777419851</v>
      </c>
      <c r="P66" s="650">
        <f t="shared" si="22"/>
        <v>12751.498921293127</v>
      </c>
      <c r="Q66" s="1098">
        <f>'[21]Oct midyear adj_OJJ'!$K65</f>
        <v>0</v>
      </c>
      <c r="R66" s="650">
        <f t="shared" si="23"/>
        <v>12751.498921293127</v>
      </c>
      <c r="S66" s="650">
        <f t="shared" si="24"/>
        <v>1063</v>
      </c>
      <c r="T66" s="651">
        <f t="shared" si="25"/>
        <v>46318.1830586301</v>
      </c>
      <c r="U66" s="657"/>
      <c r="V66" s="657"/>
      <c r="W66" s="651">
        <f t="shared" si="26"/>
        <v>3860</v>
      </c>
    </row>
    <row r="67" spans="1:23">
      <c r="A67" s="618">
        <v>61</v>
      </c>
      <c r="B67" s="619" t="s">
        <v>152</v>
      </c>
      <c r="C67" s="663">
        <f>'[20]2012 Prelim Summary - 20130603'!E69</f>
        <v>2.5710769999999998</v>
      </c>
      <c r="D67" s="664">
        <f>'Table 3 Levels 1&amp;2'!AP68</f>
        <v>3741.7444869339224</v>
      </c>
      <c r="E67" s="664">
        <f t="shared" si="15"/>
        <v>4925.5732511616043</v>
      </c>
      <c r="F67" s="664">
        <f t="shared" si="16"/>
        <v>6395.9206430237991</v>
      </c>
      <c r="G67" s="665">
        <f t="shared" si="17"/>
        <v>16444.404459103698</v>
      </c>
      <c r="H67" s="656"/>
      <c r="I67" s="1092">
        <f>'[21]Oct midyear adj_OJJ'!$I66</f>
        <v>0</v>
      </c>
      <c r="J67" s="665">
        <f t="shared" si="18"/>
        <v>16444.404459103698</v>
      </c>
      <c r="K67" s="665">
        <f t="shared" si="19"/>
        <v>1370</v>
      </c>
      <c r="L67" s="625">
        <f>'Table 3 Levels 1&amp;2'!AS68</f>
        <v>17710016.399999999</v>
      </c>
      <c r="M67" s="666">
        <f>'Table 3 Levels 1&amp;2'!C68</f>
        <v>3620</v>
      </c>
      <c r="N67" s="666">
        <f t="shared" si="20"/>
        <v>3622.5710770000001</v>
      </c>
      <c r="O67" s="627">
        <f t="shared" si="21"/>
        <v>4888.7974931512981</v>
      </c>
      <c r="P67" s="628">
        <f t="shared" si="22"/>
        <v>12569.474792298959</v>
      </c>
      <c r="Q67" s="1096">
        <f>'[21]Oct midyear adj_OJJ'!$K66</f>
        <v>0</v>
      </c>
      <c r="R67" s="628">
        <f t="shared" si="23"/>
        <v>12569.474792298959</v>
      </c>
      <c r="S67" s="628">
        <f t="shared" si="24"/>
        <v>1047</v>
      </c>
      <c r="T67" s="629">
        <f t="shared" si="25"/>
        <v>29013.879251402657</v>
      </c>
      <c r="U67" s="656"/>
      <c r="V67" s="657"/>
      <c r="W67" s="629">
        <f t="shared" si="26"/>
        <v>2417</v>
      </c>
    </row>
    <row r="68" spans="1:23">
      <c r="A68" s="630">
        <v>62</v>
      </c>
      <c r="B68" s="631" t="s">
        <v>153</v>
      </c>
      <c r="C68" s="653">
        <f>'[20]2012 Prelim Summary - 20130603'!E70</f>
        <v>8.1966999999999998E-2</v>
      </c>
      <c r="D68" s="654">
        <f>'Table 3 Levels 1&amp;2'!AP69</f>
        <v>6168.2530736722092</v>
      </c>
      <c r="E68" s="654">
        <f t="shared" si="15"/>
        <v>8119.7907692973149</v>
      </c>
      <c r="F68" s="654">
        <f t="shared" si="16"/>
        <v>9590.1381611595098</v>
      </c>
      <c r="G68" s="655">
        <f t="shared" si="17"/>
        <v>786.07485465576156</v>
      </c>
      <c r="H68" s="656"/>
      <c r="I68" s="1090">
        <f>'[21]Oct midyear adj_OJJ'!$I67</f>
        <v>0</v>
      </c>
      <c r="J68" s="655">
        <f t="shared" si="18"/>
        <v>786.07485465576156</v>
      </c>
      <c r="K68" s="655">
        <f t="shared" si="19"/>
        <v>66</v>
      </c>
      <c r="L68" s="625">
        <f>'Table 3 Levels 1&amp;2'!AS69</f>
        <v>3860612</v>
      </c>
      <c r="M68" s="658">
        <f>'Table 3 Levels 1&amp;2'!C69</f>
        <v>2105</v>
      </c>
      <c r="N68" s="658">
        <f t="shared" si="20"/>
        <v>2105.0819670000001</v>
      </c>
      <c r="O68" s="636">
        <f t="shared" si="21"/>
        <v>1833.9485400190119</v>
      </c>
      <c r="P68" s="637">
        <f t="shared" si="22"/>
        <v>150.32325997973834</v>
      </c>
      <c r="Q68" s="1097">
        <f>'[21]Oct midyear adj_OJJ'!$K67</f>
        <v>0</v>
      </c>
      <c r="R68" s="637">
        <f t="shared" si="23"/>
        <v>150.32325997973834</v>
      </c>
      <c r="S68" s="637">
        <f t="shared" si="24"/>
        <v>13</v>
      </c>
      <c r="T68" s="638">
        <f t="shared" si="25"/>
        <v>936.39811463549995</v>
      </c>
      <c r="U68" s="656"/>
      <c r="V68" s="657"/>
      <c r="W68" s="638">
        <f t="shared" si="26"/>
        <v>79</v>
      </c>
    </row>
    <row r="69" spans="1:23">
      <c r="A69" s="630">
        <v>63</v>
      </c>
      <c r="B69" s="631" t="s">
        <v>154</v>
      </c>
      <c r="C69" s="653">
        <f>'[20]2012 Prelim Summary - 20130603'!E71</f>
        <v>0</v>
      </c>
      <c r="D69" s="654">
        <f>'Table 3 Levels 1&amp;2'!AP70</f>
        <v>5119.0907538104029</v>
      </c>
      <c r="E69" s="654">
        <f t="shared" si="15"/>
        <v>6738.6900883492872</v>
      </c>
      <c r="F69" s="654">
        <f t="shared" si="16"/>
        <v>8209.037480211482</v>
      </c>
      <c r="G69" s="655">
        <f t="shared" si="17"/>
        <v>0</v>
      </c>
      <c r="H69" s="656"/>
      <c r="I69" s="1090">
        <f>'[21]Oct midyear adj_OJJ'!$I68</f>
        <v>0</v>
      </c>
      <c r="J69" s="655">
        <f t="shared" si="18"/>
        <v>0</v>
      </c>
      <c r="K69" s="655">
        <f t="shared" si="19"/>
        <v>0</v>
      </c>
      <c r="L69" s="625">
        <f>'Table 3 Levels 1&amp;2'!AS70</f>
        <v>10008788.9</v>
      </c>
      <c r="M69" s="658">
        <f>'Table 3 Levels 1&amp;2'!C70</f>
        <v>2038</v>
      </c>
      <c r="N69" s="658">
        <f t="shared" si="20"/>
        <v>2038</v>
      </c>
      <c r="O69" s="636">
        <f t="shared" si="21"/>
        <v>4911.0838567222772</v>
      </c>
      <c r="P69" s="637">
        <f t="shared" si="22"/>
        <v>0</v>
      </c>
      <c r="Q69" s="1097">
        <f>'[21]Oct midyear adj_OJJ'!$K68</f>
        <v>0</v>
      </c>
      <c r="R69" s="637">
        <f t="shared" si="23"/>
        <v>0</v>
      </c>
      <c r="S69" s="637">
        <f t="shared" si="24"/>
        <v>0</v>
      </c>
      <c r="T69" s="638">
        <f t="shared" si="25"/>
        <v>0</v>
      </c>
      <c r="U69" s="656"/>
      <c r="V69" s="657"/>
      <c r="W69" s="638">
        <f t="shared" si="26"/>
        <v>0</v>
      </c>
    </row>
    <row r="70" spans="1:23">
      <c r="A70" s="630">
        <v>64</v>
      </c>
      <c r="B70" s="631" t="s">
        <v>155</v>
      </c>
      <c r="C70" s="653">
        <f>'[20]2012 Prelim Summary - 20130603'!E72</f>
        <v>0.53200000000000003</v>
      </c>
      <c r="D70" s="654">
        <f>'Table 3 Levels 1&amp;2'!AP71</f>
        <v>6552.8649072003327</v>
      </c>
      <c r="E70" s="654">
        <f t="shared" si="15"/>
        <v>8626.0877026987437</v>
      </c>
      <c r="F70" s="654">
        <f t="shared" si="16"/>
        <v>10096.435094560939</v>
      </c>
      <c r="G70" s="655">
        <f t="shared" si="17"/>
        <v>5371.3034703064195</v>
      </c>
      <c r="H70" s="656"/>
      <c r="I70" s="1090">
        <f>'[21]Oct midyear adj_OJJ'!$I69</f>
        <v>0</v>
      </c>
      <c r="J70" s="655">
        <f t="shared" si="18"/>
        <v>5371.3034703064195</v>
      </c>
      <c r="K70" s="655">
        <f t="shared" si="19"/>
        <v>448</v>
      </c>
      <c r="L70" s="625">
        <f>'Table 3 Levels 1&amp;2'!AS71</f>
        <v>6892061</v>
      </c>
      <c r="M70" s="658">
        <f>'Table 3 Levels 1&amp;2'!C71</f>
        <v>2396</v>
      </c>
      <c r="N70" s="658">
        <f t="shared" si="20"/>
        <v>2396.5320000000002</v>
      </c>
      <c r="O70" s="636">
        <f t="shared" si="21"/>
        <v>2875.8476832356087</v>
      </c>
      <c r="P70" s="637">
        <f t="shared" si="22"/>
        <v>1529.9509674813439</v>
      </c>
      <c r="Q70" s="1097">
        <f>'[21]Oct midyear adj_OJJ'!$K69</f>
        <v>0</v>
      </c>
      <c r="R70" s="637">
        <f t="shared" si="23"/>
        <v>1529.9509674813439</v>
      </c>
      <c r="S70" s="637">
        <f t="shared" si="24"/>
        <v>127</v>
      </c>
      <c r="T70" s="638">
        <f t="shared" si="25"/>
        <v>6901.2544377877639</v>
      </c>
      <c r="U70" s="656"/>
      <c r="V70" s="657"/>
      <c r="W70" s="638">
        <f t="shared" si="26"/>
        <v>575</v>
      </c>
    </row>
    <row r="71" spans="1:23">
      <c r="A71" s="641">
        <v>65</v>
      </c>
      <c r="B71" s="642" t="s">
        <v>156</v>
      </c>
      <c r="C71" s="659">
        <f>'[20]2012 Prelim Summary - 20130603'!E73</f>
        <v>0.9</v>
      </c>
      <c r="D71" s="660">
        <f>'Table 3 Levels 1&amp;2'!AP72</f>
        <v>5408.3972303106675</v>
      </c>
      <c r="E71" s="660">
        <f t="shared" ref="E71:E76" si="27">D71*(1+$E$4)</f>
        <v>7119.5285574146073</v>
      </c>
      <c r="F71" s="660">
        <f t="shared" si="16"/>
        <v>8589.8759492768022</v>
      </c>
      <c r="G71" s="661">
        <f t="shared" si="17"/>
        <v>7730.888354349122</v>
      </c>
      <c r="H71" s="657"/>
      <c r="I71" s="1091">
        <f>'[21]Oct midyear adj_OJJ'!$I70</f>
        <v>0</v>
      </c>
      <c r="J71" s="661">
        <f t="shared" si="18"/>
        <v>7730.888354349122</v>
      </c>
      <c r="K71" s="661">
        <f t="shared" si="19"/>
        <v>644</v>
      </c>
      <c r="L71" s="647">
        <f>'Table 3 Levels 1&amp;2'!AS72</f>
        <v>32410882.640000001</v>
      </c>
      <c r="M71" s="662">
        <f>'Table 3 Levels 1&amp;2'!C72</f>
        <v>8246</v>
      </c>
      <c r="N71" s="662">
        <f t="shared" si="20"/>
        <v>8246.9</v>
      </c>
      <c r="O71" s="649">
        <f t="shared" si="21"/>
        <v>3930.068588196777</v>
      </c>
      <c r="P71" s="650">
        <f t="shared" si="22"/>
        <v>3537.0617293770993</v>
      </c>
      <c r="Q71" s="1098">
        <f>'[21]Oct midyear adj_OJJ'!$K70</f>
        <v>0</v>
      </c>
      <c r="R71" s="650">
        <f t="shared" si="23"/>
        <v>3537.0617293770993</v>
      </c>
      <c r="S71" s="650">
        <f t="shared" si="24"/>
        <v>295</v>
      </c>
      <c r="T71" s="651">
        <f t="shared" si="25"/>
        <v>11267.95008372622</v>
      </c>
      <c r="U71" s="657"/>
      <c r="V71" s="657"/>
      <c r="W71" s="651">
        <f t="shared" si="26"/>
        <v>939</v>
      </c>
    </row>
    <row r="72" spans="1:23">
      <c r="A72" s="618">
        <v>66</v>
      </c>
      <c r="B72" s="619" t="s">
        <v>157</v>
      </c>
      <c r="C72" s="663">
        <f>'[20]2012 Prelim Summary - 20130603'!E74</f>
        <v>0.71599999999999997</v>
      </c>
      <c r="D72" s="664">
        <f>'Table 3 Levels 1&amp;2'!AP73</f>
        <v>7100.8708195713589</v>
      </c>
      <c r="E72" s="664">
        <f t="shared" si="27"/>
        <v>9347.4740167238797</v>
      </c>
      <c r="F72" s="664">
        <f t="shared" ref="F72:F76" si="28">E72+$F$4</f>
        <v>10817.821408586075</v>
      </c>
      <c r="G72" s="665">
        <f>C72*F72</f>
        <v>7745.5601285476287</v>
      </c>
      <c r="H72" s="656"/>
      <c r="I72" s="1092">
        <v>0</v>
      </c>
      <c r="J72" s="665">
        <f t="shared" ref="J72:J75" si="29">SUM(G72:I72)</f>
        <v>7745.5601285476287</v>
      </c>
      <c r="K72" s="665">
        <f t="shared" ref="K72:K75" si="30">ROUND(J72/12,0)</f>
        <v>645</v>
      </c>
      <c r="L72" s="625">
        <f>'Table 3 Levels 1&amp;2'!AS73</f>
        <v>7447578</v>
      </c>
      <c r="M72" s="666">
        <f>'Table 3 Levels 1&amp;2'!C73</f>
        <v>2025</v>
      </c>
      <c r="N72" s="666">
        <f>C72+M72</f>
        <v>2025.7159999999999</v>
      </c>
      <c r="O72" s="627">
        <f t="shared" ref="O72:O76" si="31">L72/N72</f>
        <v>3676.5163527365139</v>
      </c>
      <c r="P72" s="628">
        <f>C72*O72</f>
        <v>2632.385708559344</v>
      </c>
      <c r="Q72" s="1096">
        <v>0</v>
      </c>
      <c r="R72" s="628">
        <f t="shared" ref="R72:R75" si="32">SUM(P72:Q72)</f>
        <v>2632.385708559344</v>
      </c>
      <c r="S72" s="628">
        <f t="shared" ref="S72:S75" si="33">ROUND(R72/12,0)</f>
        <v>219</v>
      </c>
      <c r="T72" s="629">
        <f>G72+P72</f>
        <v>10377.945837106972</v>
      </c>
      <c r="U72" s="656"/>
      <c r="V72" s="657"/>
      <c r="W72" s="629">
        <f>K72+S72</f>
        <v>864</v>
      </c>
    </row>
    <row r="73" spans="1:23">
      <c r="A73" s="630">
        <v>67</v>
      </c>
      <c r="B73" s="631" t="s">
        <v>32</v>
      </c>
      <c r="C73" s="653">
        <f>'[20]2012 Prelim Summary - 20130603'!E75</f>
        <v>0</v>
      </c>
      <c r="D73" s="654">
        <f>'Table 3 Levels 1&amp;2'!AP74</f>
        <v>5667.210993210625</v>
      </c>
      <c r="E73" s="654">
        <f t="shared" si="27"/>
        <v>7460.226900667094</v>
      </c>
      <c r="F73" s="654">
        <f t="shared" si="28"/>
        <v>8930.5742925292889</v>
      </c>
      <c r="G73" s="655">
        <f>C73*F73</f>
        <v>0</v>
      </c>
      <c r="H73" s="656"/>
      <c r="I73" s="1090">
        <f>'[21]Oct midyear adj_OJJ'!$I72</f>
        <v>0</v>
      </c>
      <c r="J73" s="655">
        <f t="shared" si="29"/>
        <v>0</v>
      </c>
      <c r="K73" s="655">
        <f t="shared" si="30"/>
        <v>0</v>
      </c>
      <c r="L73" s="625">
        <f>'Table 3 Levels 1&amp;2'!AS74</f>
        <v>16059535.939999999</v>
      </c>
      <c r="M73" s="658">
        <f>'Table 3 Levels 1&amp;2'!C74</f>
        <v>5098</v>
      </c>
      <c r="N73" s="658">
        <f>C73+M73</f>
        <v>5098</v>
      </c>
      <c r="O73" s="636">
        <f t="shared" si="31"/>
        <v>3150.1639741074932</v>
      </c>
      <c r="P73" s="637">
        <f>C73*O73</f>
        <v>0</v>
      </c>
      <c r="Q73" s="1097">
        <f>'[21]Oct midyear adj_OJJ'!$K72</f>
        <v>0</v>
      </c>
      <c r="R73" s="637">
        <f t="shared" si="32"/>
        <v>0</v>
      </c>
      <c r="S73" s="637">
        <f t="shared" si="33"/>
        <v>0</v>
      </c>
      <c r="T73" s="638">
        <f>G73+P73</f>
        <v>0</v>
      </c>
      <c r="U73" s="656"/>
      <c r="V73" s="657"/>
      <c r="W73" s="638">
        <f>K73+S73</f>
        <v>0</v>
      </c>
    </row>
    <row r="74" spans="1:23">
      <c r="A74" s="630">
        <v>68</v>
      </c>
      <c r="B74" s="631" t="s">
        <v>30</v>
      </c>
      <c r="C74" s="653">
        <f>'[20]2012 Prelim Summary - 20130603'!E76</f>
        <v>0</v>
      </c>
      <c r="D74" s="654">
        <f>'Table 3 Levels 1&amp;2'!AP75</f>
        <v>6875.9398733698954</v>
      </c>
      <c r="E74" s="654">
        <f t="shared" si="27"/>
        <v>9051.3784773739299</v>
      </c>
      <c r="F74" s="654">
        <f t="shared" si="28"/>
        <v>10521.725869236125</v>
      </c>
      <c r="G74" s="655">
        <f>C74*F74</f>
        <v>0</v>
      </c>
      <c r="H74" s="656"/>
      <c r="I74" s="1090">
        <f>'[21]Oct midyear adj_OJJ'!$I73</f>
        <v>0</v>
      </c>
      <c r="J74" s="655">
        <f t="shared" si="29"/>
        <v>0</v>
      </c>
      <c r="K74" s="655">
        <f t="shared" si="30"/>
        <v>0</v>
      </c>
      <c r="L74" s="625">
        <f>'Table 3 Levels 1&amp;2'!AS75</f>
        <v>4864522</v>
      </c>
      <c r="M74" s="658">
        <f>'Table 3 Levels 1&amp;2'!C75</f>
        <v>1714</v>
      </c>
      <c r="N74" s="658">
        <f>C74+M74</f>
        <v>1714</v>
      </c>
      <c r="O74" s="636">
        <f t="shared" si="31"/>
        <v>2838.1108518086348</v>
      </c>
      <c r="P74" s="637">
        <f>C74*O74</f>
        <v>0</v>
      </c>
      <c r="Q74" s="1097">
        <f>'[21]Oct midyear adj_OJJ'!$K73</f>
        <v>0</v>
      </c>
      <c r="R74" s="637">
        <f t="shared" si="32"/>
        <v>0</v>
      </c>
      <c r="S74" s="637">
        <f t="shared" si="33"/>
        <v>0</v>
      </c>
      <c r="T74" s="638">
        <f>G74+P74</f>
        <v>0</v>
      </c>
      <c r="U74" s="656"/>
      <c r="V74" s="657"/>
      <c r="W74" s="638">
        <f>K74+S74</f>
        <v>0</v>
      </c>
    </row>
    <row r="75" spans="1:23">
      <c r="A75" s="667">
        <v>69</v>
      </c>
      <c r="B75" s="668" t="s">
        <v>208</v>
      </c>
      <c r="C75" s="669">
        <f>'[20]2012 Prelim Summary - 20130603'!E77</f>
        <v>0</v>
      </c>
      <c r="D75" s="670">
        <f>'Table 3 Levels 1&amp;2'!AP76</f>
        <v>6291.4953106686571</v>
      </c>
      <c r="E75" s="670">
        <f t="shared" si="27"/>
        <v>8282.0249004847301</v>
      </c>
      <c r="F75" s="670">
        <f t="shared" si="28"/>
        <v>9752.372292346925</v>
      </c>
      <c r="G75" s="671">
        <f>C75*F75</f>
        <v>0</v>
      </c>
      <c r="H75" s="656"/>
      <c r="I75" s="1093">
        <f>'[21]Oct midyear adj_OJJ'!$I74</f>
        <v>0</v>
      </c>
      <c r="J75" s="671">
        <f t="shared" si="29"/>
        <v>0</v>
      </c>
      <c r="K75" s="671">
        <f t="shared" si="30"/>
        <v>0</v>
      </c>
      <c r="L75" s="625">
        <f>'Table 3 Levels 1&amp;2'!AS76</f>
        <v>11703673.74</v>
      </c>
      <c r="M75" s="672">
        <f>'Table 3 Levels 1&amp;2'!C76</f>
        <v>4193</v>
      </c>
      <c r="N75" s="672">
        <f>C75+M75</f>
        <v>4193</v>
      </c>
      <c r="O75" s="673">
        <f t="shared" si="31"/>
        <v>2791.241054137849</v>
      </c>
      <c r="P75" s="674">
        <f>C75*O75</f>
        <v>0</v>
      </c>
      <c r="Q75" s="1099">
        <f>'[21]Oct midyear adj_OJJ'!$K74</f>
        <v>0</v>
      </c>
      <c r="R75" s="674">
        <f t="shared" si="32"/>
        <v>0</v>
      </c>
      <c r="S75" s="674">
        <f t="shared" si="33"/>
        <v>0</v>
      </c>
      <c r="T75" s="675">
        <f>G75+P75</f>
        <v>0</v>
      </c>
      <c r="U75" s="656"/>
      <c r="V75" s="657"/>
      <c r="W75" s="675">
        <f>K75+S75</f>
        <v>0</v>
      </c>
    </row>
    <row r="76" spans="1:23" s="8" customFormat="1" ht="13.5" thickBot="1">
      <c r="A76" s="676"/>
      <c r="B76" s="677" t="s">
        <v>158</v>
      </c>
      <c r="C76" s="678">
        <f>SUM(C7:C75)</f>
        <v>273.58268899999996</v>
      </c>
      <c r="D76" s="679">
        <f>'Table 3 Levels 1&amp;2'!AP77</f>
        <v>5060.3213185290233</v>
      </c>
      <c r="E76" s="679">
        <f t="shared" si="27"/>
        <v>6661.3269334308607</v>
      </c>
      <c r="F76" s="679">
        <f t="shared" si="28"/>
        <v>8131.6743252930555</v>
      </c>
      <c r="G76" s="680">
        <f>SUM(G7:G75)</f>
        <v>2176324.8475885335</v>
      </c>
      <c r="H76" s="681"/>
      <c r="I76" s="1094">
        <f t="shared" ref="I76:N76" si="34">SUM(I7:I75)</f>
        <v>0</v>
      </c>
      <c r="J76" s="680">
        <f t="shared" si="34"/>
        <v>2176324.8475885335</v>
      </c>
      <c r="K76" s="680">
        <f t="shared" si="34"/>
        <v>181363</v>
      </c>
      <c r="L76" s="682">
        <f t="shared" si="34"/>
        <v>2388616092.5699997</v>
      </c>
      <c r="M76" s="683">
        <f t="shared" si="34"/>
        <v>673908</v>
      </c>
      <c r="N76" s="683">
        <f t="shared" si="34"/>
        <v>674181.58268900029</v>
      </c>
      <c r="O76" s="682">
        <f t="shared" si="31"/>
        <v>3542.9862723969832</v>
      </c>
      <c r="P76" s="684">
        <f>SUM(P7:P75)</f>
        <v>1003455.7485338153</v>
      </c>
      <c r="Q76" s="1100">
        <f>SUM(Q7:Q75)</f>
        <v>0</v>
      </c>
      <c r="R76" s="1100">
        <f>SUM(R7:R75)</f>
        <v>1003455.7485338153</v>
      </c>
      <c r="S76" s="684">
        <f>SUM(S7:S75)</f>
        <v>83618</v>
      </c>
      <c r="T76" s="685">
        <f>SUM(T7:T75)</f>
        <v>3179780.5961223496</v>
      </c>
      <c r="U76" s="681"/>
      <c r="V76" s="681"/>
      <c r="W76" s="685">
        <f>SUM(W7:W75)</f>
        <v>264981</v>
      </c>
    </row>
    <row r="77" spans="1:23" s="8" customFormat="1" ht="13.5" thickTop="1">
      <c r="A77" s="686"/>
      <c r="B77" s="686"/>
      <c r="C77" s="687"/>
      <c r="D77" s="687"/>
      <c r="E77" s="687"/>
      <c r="F77" s="687"/>
      <c r="H77" s="688"/>
      <c r="I77" s="688"/>
      <c r="J77" s="688"/>
      <c r="L77" s="689"/>
      <c r="M77" s="690"/>
      <c r="N77" s="689"/>
      <c r="O77" s="689"/>
      <c r="P77" s="689"/>
      <c r="Q77" s="689"/>
      <c r="R77" s="689"/>
      <c r="S77" s="689"/>
      <c r="U77" s="688"/>
      <c r="V77" s="688"/>
    </row>
    <row r="78" spans="1:23" ht="20.25">
      <c r="A78" s="691"/>
      <c r="C78" s="692"/>
      <c r="M78" s="692"/>
    </row>
    <row r="79" spans="1:23">
      <c r="E79" s="2"/>
      <c r="F79" s="2"/>
    </row>
    <row r="80" spans="1:23">
      <c r="E80" s="337"/>
      <c r="F80" s="64"/>
    </row>
    <row r="81" spans="3:22">
      <c r="E81" s="2"/>
      <c r="F81" s="2"/>
    </row>
    <row r="82" spans="3:22">
      <c r="E82" s="2"/>
      <c r="F82" s="2"/>
    </row>
    <row r="83" spans="3:22">
      <c r="E83" s="2"/>
      <c r="F83" s="2"/>
      <c r="G83" s="693"/>
      <c r="H83" s="694"/>
      <c r="I83" s="694"/>
      <c r="J83" s="694"/>
      <c r="K83" s="693"/>
      <c r="U83" s="694"/>
      <c r="V83" s="694"/>
    </row>
    <row r="86" spans="3:22">
      <c r="C86" s="695"/>
      <c r="D86" s="696"/>
    </row>
    <row r="87" spans="3:22">
      <c r="C87" s="695"/>
      <c r="D87" s="696"/>
    </row>
    <row r="88" spans="3:22">
      <c r="C88" s="697"/>
      <c r="D88" s="696"/>
    </row>
    <row r="89" spans="3:22">
      <c r="C89" s="695"/>
      <c r="D89" s="696"/>
    </row>
    <row r="90" spans="3:22">
      <c r="C90" s="695"/>
      <c r="D90" s="696"/>
    </row>
    <row r="91" spans="3:22">
      <c r="C91" s="695"/>
      <c r="D91" s="696"/>
    </row>
    <row r="92" spans="3:22">
      <c r="C92" s="697"/>
      <c r="D92" s="696"/>
    </row>
    <row r="93" spans="3:22">
      <c r="C93" s="695"/>
      <c r="D93" s="696"/>
    </row>
    <row r="94" spans="3:22">
      <c r="C94" s="698"/>
      <c r="D94" s="575"/>
    </row>
    <row r="95" spans="3:22">
      <c r="C95" s="699"/>
      <c r="D95" s="575"/>
    </row>
    <row r="96" spans="3:22">
      <c r="C96" s="700"/>
      <c r="D96" s="696"/>
    </row>
    <row r="97" spans="3:4">
      <c r="C97" s="701"/>
      <c r="D97" s="575"/>
    </row>
    <row r="98" spans="3:4">
      <c r="C98" s="700"/>
      <c r="D98" s="702"/>
    </row>
    <row r="99" spans="3:4">
      <c r="C99" s="703"/>
      <c r="D99" s="575"/>
    </row>
    <row r="100" spans="3:4">
      <c r="C100" s="700"/>
      <c r="D100" s="575"/>
    </row>
    <row r="101" spans="3:4">
      <c r="C101" s="704"/>
      <c r="D101" s="575"/>
    </row>
    <row r="102" spans="3:4">
      <c r="C102" s="705"/>
      <c r="D102" s="575"/>
    </row>
    <row r="103" spans="3:4">
      <c r="C103" s="705"/>
      <c r="D103" s="575"/>
    </row>
    <row r="104" spans="3:4">
      <c r="C104" s="705"/>
      <c r="D104" s="575"/>
    </row>
    <row r="105" spans="3:4">
      <c r="D105" s="575"/>
    </row>
  </sheetData>
  <mergeCells count="23">
    <mergeCell ref="W2:W4"/>
    <mergeCell ref="V16:V18"/>
    <mergeCell ref="L3:L4"/>
    <mergeCell ref="M3:M4"/>
    <mergeCell ref="N3:N4"/>
    <mergeCell ref="V20:V22"/>
    <mergeCell ref="O3:O4"/>
    <mergeCell ref="P3:P4"/>
    <mergeCell ref="V9:V10"/>
    <mergeCell ref="V12:V14"/>
    <mergeCell ref="S3:S4"/>
    <mergeCell ref="A2:B4"/>
    <mergeCell ref="T2:T4"/>
    <mergeCell ref="C3:C4"/>
    <mergeCell ref="D3:D4"/>
    <mergeCell ref="G3:G4"/>
    <mergeCell ref="K3:K4"/>
    <mergeCell ref="C2:K2"/>
    <mergeCell ref="L2:S2"/>
    <mergeCell ref="I3:I4"/>
    <mergeCell ref="J3:J4"/>
    <mergeCell ref="Q3:Q4"/>
    <mergeCell ref="R3:R4"/>
  </mergeCells>
  <printOptions horizontalCentered="1"/>
  <pageMargins left="0.27" right="0.25" top="0.87" bottom="0.2" header="0.25" footer="0.2"/>
  <pageSetup paperSize="5" scale="63" firstPageNumber="90" fitToWidth="3" orientation="portrait" useFirstPageNumber="1" r:id="rId1"/>
  <headerFooter alignWithMargins="0">
    <oddHeader xml:space="preserve">&amp;L&amp;"Arial,Bold"&amp;16Table 5E:  FY2013-14 MFP Budget Letter &amp;"Arial,Regular"&amp;10
&amp;"Arial,Bold"&amp;14Office of Juvenile Justice (Based on Preliminary Data) &amp;R&amp;"Arial,Bold"&amp;12&amp;KFF0000
</oddHeader>
    <oddFooter>&amp;R&amp;9&amp;P</oddFooter>
  </headerFooter>
  <colBreaks count="1" manualBreakCount="1">
    <brk id="11" min="1" max="76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view="pageBreakPreview" zoomScale="80" zoomScaleNormal="85" zoomScaleSheetLayoutView="80" workbookViewId="0">
      <pane xSplit="2" ySplit="7" topLeftCell="C65" activePane="bottomRight" state="frozen"/>
      <selection activeCell="B3" sqref="B3:B5"/>
      <selection pane="topRight" activeCell="B3" sqref="B3:B5"/>
      <selection pane="bottomLeft" activeCell="B3" sqref="B3:B5"/>
      <selection pane="bottomRight" activeCell="H2" sqref="H2"/>
    </sheetView>
  </sheetViews>
  <sheetFormatPr defaultRowHeight="12.75"/>
  <cols>
    <col min="1" max="1" width="4.7109375" customWidth="1"/>
    <col min="2" max="2" width="18.5703125" customWidth="1"/>
    <col min="3" max="3" width="18.42578125" customWidth="1"/>
    <col min="4" max="4" width="17.7109375" customWidth="1"/>
    <col min="5" max="5" width="19.42578125" customWidth="1"/>
    <col min="6" max="6" width="17" customWidth="1"/>
    <col min="7" max="7" width="18.7109375" customWidth="1"/>
    <col min="8" max="8" width="15.42578125" customWidth="1"/>
    <col min="9" max="9" width="14.42578125" customWidth="1"/>
    <col min="10" max="10" width="16" customWidth="1"/>
    <col min="11" max="11" width="13.7109375" customWidth="1"/>
    <col min="13" max="13" width="12.7109375" customWidth="1"/>
  </cols>
  <sheetData>
    <row r="1" spans="1:10" ht="46.5" customHeight="1">
      <c r="B1" s="228" t="s">
        <v>223</v>
      </c>
      <c r="C1" s="229"/>
      <c r="D1" s="229"/>
      <c r="E1" s="230"/>
      <c r="F1" s="230"/>
      <c r="G1" s="230"/>
      <c r="H1" s="230"/>
      <c r="I1" s="230"/>
      <c r="J1" s="230"/>
    </row>
    <row r="2" spans="1:10" ht="15" customHeight="1">
      <c r="A2" s="48"/>
      <c r="B2" s="48"/>
      <c r="C2" s="2"/>
      <c r="D2" s="2"/>
      <c r="E2" s="947">
        <f>'Table 7 Local Revenue'!AD77</f>
        <v>40.450000000000003</v>
      </c>
      <c r="F2" s="2"/>
      <c r="G2" s="2"/>
      <c r="H2" s="948">
        <f>'Table 7 Local Revenue'!AF77</f>
        <v>1.9900000000000001E-2</v>
      </c>
      <c r="I2" s="2"/>
      <c r="J2" s="2"/>
    </row>
    <row r="3" spans="1:10" ht="40.5" hidden="1" customHeight="1">
      <c r="A3" s="48"/>
      <c r="C3" s="113"/>
      <c r="D3" s="113"/>
      <c r="E3" s="113" t="s">
        <v>60</v>
      </c>
      <c r="F3" s="113"/>
      <c r="G3" s="113"/>
      <c r="H3" s="113" t="s">
        <v>61</v>
      </c>
      <c r="I3" s="113"/>
      <c r="J3" s="113"/>
    </row>
    <row r="4" spans="1:10" ht="45" customHeight="1">
      <c r="A4" s="1583" t="s">
        <v>185</v>
      </c>
      <c r="B4" s="1583" t="s">
        <v>2</v>
      </c>
      <c r="C4" s="1822" t="s">
        <v>240</v>
      </c>
      <c r="D4" s="1823"/>
      <c r="E4" s="1824"/>
      <c r="F4" s="1822" t="s">
        <v>206</v>
      </c>
      <c r="G4" s="1823"/>
      <c r="H4" s="1823"/>
      <c r="I4" s="1823"/>
      <c r="J4" s="1824"/>
    </row>
    <row r="5" spans="1:10" ht="51.75" customHeight="1">
      <c r="A5" s="1820"/>
      <c r="B5" s="1820"/>
      <c r="C5" s="1825" t="s">
        <v>571</v>
      </c>
      <c r="D5" s="1825" t="s">
        <v>572</v>
      </c>
      <c r="E5" s="67" t="s">
        <v>214</v>
      </c>
      <c r="F5" s="1825" t="s">
        <v>573</v>
      </c>
      <c r="G5" s="1825" t="s">
        <v>574</v>
      </c>
      <c r="H5" s="67" t="s">
        <v>213</v>
      </c>
      <c r="I5" s="1825" t="s">
        <v>241</v>
      </c>
      <c r="J5" s="1825" t="s">
        <v>260</v>
      </c>
    </row>
    <row r="6" spans="1:10" ht="15.75" customHeight="1">
      <c r="A6" s="1821"/>
      <c r="B6" s="1821"/>
      <c r="C6" s="1825"/>
      <c r="D6" s="1825"/>
      <c r="E6" s="373">
        <f>'Table 7 Local Revenue'!AD77*41.1%</f>
        <v>16.624950000000002</v>
      </c>
      <c r="F6" s="1825"/>
      <c r="G6" s="1825"/>
      <c r="H6" s="1356">
        <f>'Table 7 Local Revenue'!AF77*41.1%</f>
        <v>8.1789000000000011E-3</v>
      </c>
      <c r="I6" s="1825"/>
      <c r="J6" s="1825"/>
    </row>
    <row r="7" spans="1:10">
      <c r="A7" s="63"/>
      <c r="B7" s="63"/>
      <c r="C7" s="213">
        <v>1</v>
      </c>
      <c r="D7" s="214">
        <f t="shared" ref="D7:J7" si="0">1+C7</f>
        <v>2</v>
      </c>
      <c r="E7" s="214">
        <f t="shared" si="0"/>
        <v>3</v>
      </c>
      <c r="F7" s="214">
        <f t="shared" si="0"/>
        <v>4</v>
      </c>
      <c r="G7" s="214">
        <f t="shared" si="0"/>
        <v>5</v>
      </c>
      <c r="H7" s="214">
        <f t="shared" si="0"/>
        <v>6</v>
      </c>
      <c r="I7" s="267">
        <f t="shared" si="0"/>
        <v>7</v>
      </c>
      <c r="J7" s="214">
        <f t="shared" si="0"/>
        <v>8</v>
      </c>
    </row>
    <row r="8" spans="1:10" ht="1.5" customHeight="1">
      <c r="A8" s="9"/>
      <c r="B8" s="10"/>
      <c r="C8" s="122"/>
      <c r="D8" s="11"/>
      <c r="E8" s="351"/>
      <c r="F8" s="352"/>
      <c r="G8" s="11"/>
      <c r="I8" s="351"/>
      <c r="J8" s="115"/>
    </row>
    <row r="9" spans="1:10">
      <c r="A9" s="12">
        <v>1</v>
      </c>
      <c r="B9" s="13" t="s">
        <v>93</v>
      </c>
      <c r="C9" s="14">
        <f>'Table 7 Local Revenue'!AE8</f>
        <v>8678907</v>
      </c>
      <c r="D9" s="14">
        <f>'Table 7 Local Revenue'!H8</f>
        <v>290512798</v>
      </c>
      <c r="E9" s="14">
        <f t="shared" ref="E9:E40" si="1">ROUND(D9*$E$6/1000,0)</f>
        <v>4829761</v>
      </c>
      <c r="F9" s="280">
        <f>'Table 7 Local Revenue'!AI8</f>
        <v>11369692</v>
      </c>
      <c r="G9" s="14">
        <f>'Table 7 Local Revenue'!AM8</f>
        <v>757979467</v>
      </c>
      <c r="H9" s="14">
        <f t="shared" ref="H9:H40" si="2">ROUND(G9*$H$6,0)</f>
        <v>6199438</v>
      </c>
      <c r="I9" s="235">
        <f>'Table 7 Local Revenue'!AP8</f>
        <v>526511</v>
      </c>
      <c r="J9" s="14">
        <f t="shared" ref="J9:J40" si="3">E9+H9+I9</f>
        <v>11555710</v>
      </c>
    </row>
    <row r="10" spans="1:10">
      <c r="A10" s="12">
        <v>2</v>
      </c>
      <c r="B10" s="13" t="s">
        <v>94</v>
      </c>
      <c r="C10" s="14">
        <f>'Table 7 Local Revenue'!AE9</f>
        <v>3470809</v>
      </c>
      <c r="D10" s="14">
        <f>'Table 7 Local Revenue'!H9</f>
        <v>77481772</v>
      </c>
      <c r="E10" s="14">
        <f t="shared" si="1"/>
        <v>1288131</v>
      </c>
      <c r="F10" s="280">
        <f>'Table 7 Local Revenue'!AI9</f>
        <v>7172089</v>
      </c>
      <c r="G10" s="14">
        <f>'Table 7 Local Revenue'!AM9</f>
        <v>239069633</v>
      </c>
      <c r="H10" s="14">
        <f t="shared" si="2"/>
        <v>1955327</v>
      </c>
      <c r="I10" s="235">
        <f>'Table 7 Local Revenue'!AP9</f>
        <v>101838</v>
      </c>
      <c r="J10" s="14">
        <f t="shared" si="3"/>
        <v>3345296</v>
      </c>
    </row>
    <row r="11" spans="1:10">
      <c r="A11" s="12">
        <v>3</v>
      </c>
      <c r="B11" s="13" t="s">
        <v>95</v>
      </c>
      <c r="C11" s="14">
        <f>'Table 7 Local Revenue'!AE10</f>
        <v>53862079</v>
      </c>
      <c r="D11" s="14">
        <f>'Table 7 Local Revenue'!H10</f>
        <v>875112560</v>
      </c>
      <c r="E11" s="14">
        <f t="shared" si="1"/>
        <v>14548703</v>
      </c>
      <c r="F11" s="280">
        <f>'Table 7 Local Revenue'!AI10</f>
        <v>49823946</v>
      </c>
      <c r="G11" s="14">
        <f>'Table 7 Local Revenue'!AM10</f>
        <v>2491197300</v>
      </c>
      <c r="H11" s="14">
        <f t="shared" si="2"/>
        <v>20375254</v>
      </c>
      <c r="I11" s="235">
        <f>'Table 7 Local Revenue'!AP10</f>
        <v>197634</v>
      </c>
      <c r="J11" s="14">
        <f t="shared" si="3"/>
        <v>35121591</v>
      </c>
    </row>
    <row r="12" spans="1:10">
      <c r="A12" s="12">
        <v>4</v>
      </c>
      <c r="B12" s="13" t="s">
        <v>96</v>
      </c>
      <c r="C12" s="14">
        <f>'Table 7 Local Revenue'!AE11</f>
        <v>5475482</v>
      </c>
      <c r="D12" s="14">
        <f>'Table 7 Local Revenue'!H11</f>
        <v>140247799</v>
      </c>
      <c r="E12" s="14">
        <f t="shared" si="1"/>
        <v>2331613</v>
      </c>
      <c r="F12" s="280">
        <f>'Table 7 Local Revenue'!AI11</f>
        <v>6784459</v>
      </c>
      <c r="G12" s="14">
        <f>'Table 7 Local Revenue'!AM11</f>
        <v>226148633</v>
      </c>
      <c r="H12" s="14">
        <f t="shared" si="2"/>
        <v>1849647</v>
      </c>
      <c r="I12" s="235">
        <f>'Table 7 Local Revenue'!AP11</f>
        <v>153274</v>
      </c>
      <c r="J12" s="14">
        <f t="shared" si="3"/>
        <v>4334534</v>
      </c>
    </row>
    <row r="13" spans="1:10">
      <c r="A13" s="18">
        <v>5</v>
      </c>
      <c r="B13" s="19" t="s">
        <v>97</v>
      </c>
      <c r="C13" s="20">
        <f>'Table 7 Local Revenue'!AE12</f>
        <v>1426920</v>
      </c>
      <c r="D13" s="20">
        <f>'Table 7 Local Revenue'!H12</f>
        <v>100860780</v>
      </c>
      <c r="E13" s="20">
        <f t="shared" si="1"/>
        <v>1676805</v>
      </c>
      <c r="F13" s="281">
        <f>'Table 7 Local Revenue'!AI12</f>
        <v>7262732</v>
      </c>
      <c r="G13" s="20">
        <f>'Table 7 Local Revenue'!AM12</f>
        <v>445566380</v>
      </c>
      <c r="H13" s="20">
        <f t="shared" si="2"/>
        <v>3644243</v>
      </c>
      <c r="I13" s="236">
        <f>'Table 7 Local Revenue'!AP12</f>
        <v>221441.5</v>
      </c>
      <c r="J13" s="20">
        <f t="shared" si="3"/>
        <v>5542489.5</v>
      </c>
    </row>
    <row r="14" spans="1:10">
      <c r="A14" s="12">
        <v>6</v>
      </c>
      <c r="B14" s="13" t="s">
        <v>98</v>
      </c>
      <c r="C14" s="14">
        <f>'Table 7 Local Revenue'!AE13</f>
        <v>10735401</v>
      </c>
      <c r="D14" s="14">
        <f>'Table 7 Local Revenue'!H13</f>
        <v>205652488</v>
      </c>
      <c r="E14" s="14">
        <f t="shared" si="1"/>
        <v>3418962</v>
      </c>
      <c r="F14" s="280">
        <f>'Table 7 Local Revenue'!AI13</f>
        <v>11237688</v>
      </c>
      <c r="G14" s="14">
        <f>'Table 7 Local Revenue'!AM13</f>
        <v>499244957.49999994</v>
      </c>
      <c r="H14" s="14">
        <f t="shared" si="2"/>
        <v>4083275</v>
      </c>
      <c r="I14" s="235">
        <f>'Table 7 Local Revenue'!AP13</f>
        <v>326455.5</v>
      </c>
      <c r="J14" s="14">
        <f t="shared" si="3"/>
        <v>7828692.5</v>
      </c>
    </row>
    <row r="15" spans="1:10">
      <c r="A15" s="12">
        <v>7</v>
      </c>
      <c r="B15" s="13" t="s">
        <v>99</v>
      </c>
      <c r="C15" s="14">
        <f>'Table 7 Local Revenue'!AE14</f>
        <v>20641090</v>
      </c>
      <c r="D15" s="14">
        <f>'Table 7 Local Revenue'!H14</f>
        <v>329482072.70000005</v>
      </c>
      <c r="E15" s="14">
        <f t="shared" si="1"/>
        <v>5477623</v>
      </c>
      <c r="F15" s="280">
        <f>'Table 7 Local Revenue'!AI14</f>
        <v>7821796</v>
      </c>
      <c r="G15" s="14">
        <f>'Table 7 Local Revenue'!AM14</f>
        <v>391089800</v>
      </c>
      <c r="H15" s="14">
        <f t="shared" si="2"/>
        <v>3198684</v>
      </c>
      <c r="I15" s="235">
        <f>'Table 7 Local Revenue'!AP14</f>
        <v>227363.5</v>
      </c>
      <c r="J15" s="14">
        <f t="shared" si="3"/>
        <v>8903670.5</v>
      </c>
    </row>
    <row r="16" spans="1:10">
      <c r="A16" s="12">
        <v>8</v>
      </c>
      <c r="B16" s="13" t="s">
        <v>100</v>
      </c>
      <c r="C16" s="14">
        <f>'Table 7 Local Revenue'!AE15</f>
        <v>45649430</v>
      </c>
      <c r="D16" s="14">
        <f>'Table 7 Local Revenue'!H15</f>
        <v>882522656</v>
      </c>
      <c r="E16" s="14">
        <f t="shared" si="1"/>
        <v>14671895</v>
      </c>
      <c r="F16" s="280">
        <f>'Table 7 Local Revenue'!AI15</f>
        <v>44601904</v>
      </c>
      <c r="G16" s="14">
        <f>'Table 7 Local Revenue'!AM15</f>
        <v>2548680229</v>
      </c>
      <c r="H16" s="14">
        <f t="shared" si="2"/>
        <v>20845401</v>
      </c>
      <c r="I16" s="235">
        <f>'Table 7 Local Revenue'!AP15</f>
        <v>612181</v>
      </c>
      <c r="J16" s="14">
        <f t="shared" si="3"/>
        <v>36129477</v>
      </c>
    </row>
    <row r="17" spans="1:13">
      <c r="A17" s="12">
        <v>9</v>
      </c>
      <c r="B17" s="13" t="s">
        <v>101</v>
      </c>
      <c r="C17" s="14">
        <f>'Table 7 Local Revenue'!AE16</f>
        <v>118647654</v>
      </c>
      <c r="D17" s="14">
        <f>'Table 7 Local Revenue'!H16</f>
        <v>1541689220</v>
      </c>
      <c r="E17" s="14">
        <f t="shared" si="1"/>
        <v>25630506</v>
      </c>
      <c r="F17" s="280">
        <f>'Table 7 Local Revenue'!AI16</f>
        <v>74472829</v>
      </c>
      <c r="G17" s="14">
        <f>'Table 7 Local Revenue'!AM16</f>
        <v>4964855267</v>
      </c>
      <c r="H17" s="14">
        <f t="shared" si="2"/>
        <v>40607055</v>
      </c>
      <c r="I17" s="235">
        <f>'Table 7 Local Revenue'!AP16</f>
        <v>2536532</v>
      </c>
      <c r="J17" s="14">
        <f t="shared" si="3"/>
        <v>68774093</v>
      </c>
    </row>
    <row r="18" spans="1:13">
      <c r="A18" s="18">
        <v>10</v>
      </c>
      <c r="B18" s="19" t="s">
        <v>102</v>
      </c>
      <c r="C18" s="20">
        <f>'Table 7 Local Revenue'!AE17</f>
        <v>49530964</v>
      </c>
      <c r="D18" s="20">
        <f>'Table 7 Local Revenue'!H17</f>
        <v>1507165524</v>
      </c>
      <c r="E18" s="20">
        <f t="shared" si="1"/>
        <v>25056551</v>
      </c>
      <c r="F18" s="281">
        <f>'Table 7 Local Revenue'!AI17</f>
        <v>91977507</v>
      </c>
      <c r="G18" s="20">
        <f>'Table 7 Local Revenue'!AM17</f>
        <v>4598875350</v>
      </c>
      <c r="H18" s="20">
        <f t="shared" si="2"/>
        <v>37613742</v>
      </c>
      <c r="I18" s="236">
        <f>'Table 7 Local Revenue'!AP17</f>
        <v>1014170</v>
      </c>
      <c r="J18" s="20">
        <f t="shared" si="3"/>
        <v>63684463</v>
      </c>
      <c r="K18" s="35"/>
      <c r="L18" s="35"/>
      <c r="M18" s="35"/>
    </row>
    <row r="19" spans="1:13" ht="12" customHeight="1">
      <c r="A19" s="12">
        <v>11</v>
      </c>
      <c r="B19" s="13" t="s">
        <v>103</v>
      </c>
      <c r="C19" s="14">
        <f>'Table 7 Local Revenue'!AE18</f>
        <v>3477623</v>
      </c>
      <c r="D19" s="14">
        <f>'Table 7 Local Revenue'!H18</f>
        <v>48364338.000000007</v>
      </c>
      <c r="E19" s="14">
        <f t="shared" si="1"/>
        <v>804055</v>
      </c>
      <c r="F19" s="280">
        <f>'Table 7 Local Revenue'!AI18</f>
        <v>1965585</v>
      </c>
      <c r="G19" s="14">
        <f>'Table 7 Local Revenue'!AM18</f>
        <v>98279250</v>
      </c>
      <c r="H19" s="14">
        <f t="shared" si="2"/>
        <v>803816</v>
      </c>
      <c r="I19" s="235">
        <f>'Table 7 Local Revenue'!AP18</f>
        <v>85967.5</v>
      </c>
      <c r="J19" s="14">
        <f t="shared" si="3"/>
        <v>1693838.5</v>
      </c>
      <c r="K19" s="35"/>
      <c r="L19" s="35"/>
      <c r="M19" s="35"/>
    </row>
    <row r="20" spans="1:13">
      <c r="A20" s="12">
        <v>12</v>
      </c>
      <c r="B20" s="13" t="s">
        <v>104</v>
      </c>
      <c r="C20" s="14">
        <f>'Table 7 Local Revenue'!AE19</f>
        <v>14161437</v>
      </c>
      <c r="D20" s="14">
        <f>'Table 7 Local Revenue'!H19</f>
        <v>260910951.40000004</v>
      </c>
      <c r="E20" s="14">
        <f t="shared" si="1"/>
        <v>4337632</v>
      </c>
      <c r="F20" s="280">
        <f>'Table 7 Local Revenue'!AI19</f>
        <v>0</v>
      </c>
      <c r="G20" s="14">
        <f>'Table 7 Local Revenue'!AM19</f>
        <v>30713432.374999996</v>
      </c>
      <c r="H20" s="14">
        <f t="shared" si="2"/>
        <v>251202</v>
      </c>
      <c r="I20" s="235">
        <f>'Table 7 Local Revenue'!AP19</f>
        <v>647659.5</v>
      </c>
      <c r="J20" s="14">
        <f t="shared" si="3"/>
        <v>5236493.5</v>
      </c>
      <c r="K20" s="35"/>
      <c r="L20" s="35"/>
      <c r="M20" s="35"/>
    </row>
    <row r="21" spans="1:13">
      <c r="A21" s="12">
        <v>13</v>
      </c>
      <c r="B21" s="13" t="s">
        <v>105</v>
      </c>
      <c r="C21" s="14">
        <f>'Table 7 Local Revenue'!AE20</f>
        <v>955711</v>
      </c>
      <c r="D21" s="14">
        <f>'Table 7 Local Revenue'!H20</f>
        <v>35320109</v>
      </c>
      <c r="E21" s="14">
        <f t="shared" si="1"/>
        <v>587195</v>
      </c>
      <c r="F21" s="280">
        <f>'Table 7 Local Revenue'!AI20</f>
        <v>2772041</v>
      </c>
      <c r="G21" s="14">
        <f>'Table 7 Local Revenue'!AM20</f>
        <v>92401367</v>
      </c>
      <c r="H21" s="14">
        <f t="shared" si="2"/>
        <v>755742</v>
      </c>
      <c r="I21" s="235">
        <f>'Table 7 Local Revenue'!AP20</f>
        <v>107042.5</v>
      </c>
      <c r="J21" s="14">
        <f t="shared" si="3"/>
        <v>1449979.5</v>
      </c>
      <c r="K21" s="35"/>
      <c r="L21" s="35"/>
      <c r="M21" s="35"/>
    </row>
    <row r="22" spans="1:13">
      <c r="A22" s="12">
        <v>14</v>
      </c>
      <c r="B22" s="13" t="s">
        <v>106</v>
      </c>
      <c r="C22" s="14">
        <f>'Table 7 Local Revenue'!AE21</f>
        <v>3855358</v>
      </c>
      <c r="D22" s="14">
        <f>'Table 7 Local Revenue'!H21</f>
        <v>140151934</v>
      </c>
      <c r="E22" s="14">
        <f t="shared" si="1"/>
        <v>2330019</v>
      </c>
      <c r="F22" s="280">
        <f>'Table 7 Local Revenue'!AI21</f>
        <v>3549236</v>
      </c>
      <c r="G22" s="14">
        <f>'Table 7 Local Revenue'!AM21</f>
        <v>162476945</v>
      </c>
      <c r="H22" s="14">
        <f t="shared" si="2"/>
        <v>1328883</v>
      </c>
      <c r="I22" s="235">
        <f>'Table 7 Local Revenue'!AP21</f>
        <v>165584</v>
      </c>
      <c r="J22" s="14">
        <f t="shared" si="3"/>
        <v>3824486</v>
      </c>
      <c r="K22" s="35"/>
      <c r="L22" s="35"/>
      <c r="M22" s="35"/>
    </row>
    <row r="23" spans="1:13">
      <c r="A23" s="18">
        <v>15</v>
      </c>
      <c r="B23" s="19" t="s">
        <v>107</v>
      </c>
      <c r="C23" s="20">
        <f>'Table 7 Local Revenue'!AE22</f>
        <v>5057283</v>
      </c>
      <c r="D23" s="20">
        <f>'Table 7 Local Revenue'!H22</f>
        <v>132017810</v>
      </c>
      <c r="E23" s="20">
        <f t="shared" si="1"/>
        <v>2194789</v>
      </c>
      <c r="F23" s="281">
        <f>'Table 7 Local Revenue'!AI22</f>
        <v>4977915</v>
      </c>
      <c r="G23" s="20">
        <f>'Table 7 Local Revenue'!AM22</f>
        <v>248895750</v>
      </c>
      <c r="H23" s="20">
        <f t="shared" si="2"/>
        <v>2035693</v>
      </c>
      <c r="I23" s="236">
        <f>'Table 7 Local Revenue'!AP22</f>
        <v>163134</v>
      </c>
      <c r="J23" s="20">
        <f t="shared" si="3"/>
        <v>4393616</v>
      </c>
      <c r="K23" s="35"/>
      <c r="L23" s="35"/>
      <c r="M23" s="35"/>
    </row>
    <row r="24" spans="1:13">
      <c r="A24" s="12">
        <v>16</v>
      </c>
      <c r="B24" s="13" t="s">
        <v>108</v>
      </c>
      <c r="C24" s="14">
        <f>'Table 7 Local Revenue'!AE23</f>
        <v>27165928</v>
      </c>
      <c r="D24" s="14">
        <f>'Table 7 Local Revenue'!H23</f>
        <v>475954547.20000005</v>
      </c>
      <c r="E24" s="14">
        <f t="shared" si="1"/>
        <v>7912721</v>
      </c>
      <c r="F24" s="280">
        <f>'Table 7 Local Revenue'!AI23</f>
        <v>48159185</v>
      </c>
      <c r="G24" s="14">
        <f>'Table 7 Local Revenue'!AM23</f>
        <v>1926367400</v>
      </c>
      <c r="H24" s="14">
        <f t="shared" si="2"/>
        <v>15755566</v>
      </c>
      <c r="I24" s="235">
        <f>'Table 7 Local Revenue'!AP23</f>
        <v>826429.5</v>
      </c>
      <c r="J24" s="14">
        <f t="shared" si="3"/>
        <v>24494716.5</v>
      </c>
      <c r="K24" s="35"/>
      <c r="L24" s="35"/>
      <c r="M24" s="35"/>
    </row>
    <row r="25" spans="1:13">
      <c r="A25" s="12">
        <v>17</v>
      </c>
      <c r="B25" s="13" t="s">
        <v>109</v>
      </c>
      <c r="C25" s="14">
        <f>'Table 7 Local Revenue'!AE24</f>
        <v>131532790</v>
      </c>
      <c r="D25" s="14">
        <f>'Table 7 Local Revenue'!H24</f>
        <v>3050582980</v>
      </c>
      <c r="E25" s="14">
        <f t="shared" si="1"/>
        <v>50715790</v>
      </c>
      <c r="F25" s="280">
        <f>'Table 7 Local Revenue'!AI24</f>
        <v>157956316</v>
      </c>
      <c r="G25" s="14">
        <f>'Table 7 Local Revenue'!AM24</f>
        <v>7897815800</v>
      </c>
      <c r="H25" s="14">
        <f t="shared" si="2"/>
        <v>64595446</v>
      </c>
      <c r="I25" s="235">
        <f>'Table 7 Local Revenue'!AP24</f>
        <v>4087419.5</v>
      </c>
      <c r="J25" s="14">
        <f t="shared" si="3"/>
        <v>119398655.5</v>
      </c>
    </row>
    <row r="26" spans="1:13">
      <c r="A26" s="12">
        <v>18</v>
      </c>
      <c r="B26" s="13" t="s">
        <v>110</v>
      </c>
      <c r="C26" s="14">
        <f>'Table 7 Local Revenue'!AE25</f>
        <v>580302</v>
      </c>
      <c r="D26" s="14">
        <f>'Table 7 Local Revenue'!H25</f>
        <v>36585559</v>
      </c>
      <c r="E26" s="14">
        <f t="shared" si="1"/>
        <v>608233</v>
      </c>
      <c r="F26" s="280">
        <f>'Table 7 Local Revenue'!AI25</f>
        <v>1835065</v>
      </c>
      <c r="G26" s="14">
        <f>'Table 7 Local Revenue'!AM25</f>
        <v>53587432.049999997</v>
      </c>
      <c r="H26" s="14">
        <f t="shared" si="2"/>
        <v>438286</v>
      </c>
      <c r="I26" s="235">
        <f>'Table 7 Local Revenue'!AP25</f>
        <v>131381.5</v>
      </c>
      <c r="J26" s="14">
        <f t="shared" si="3"/>
        <v>1177900.5</v>
      </c>
    </row>
    <row r="27" spans="1:13">
      <c r="A27" s="12">
        <v>19</v>
      </c>
      <c r="B27" s="69" t="s">
        <v>111</v>
      </c>
      <c r="C27" s="14">
        <f>'Table 7 Local Revenue'!AE26</f>
        <v>2143635</v>
      </c>
      <c r="D27" s="14">
        <f>'Table 7 Local Revenue'!H26</f>
        <v>108003600</v>
      </c>
      <c r="E27" s="14">
        <f t="shared" si="1"/>
        <v>1795554</v>
      </c>
      <c r="F27" s="280">
        <f>'Table 7 Local Revenue'!AI26</f>
        <v>3050354</v>
      </c>
      <c r="G27" s="14">
        <f>'Table 7 Local Revenue'!AM26</f>
        <v>133034874.99999999</v>
      </c>
      <c r="H27" s="14">
        <f t="shared" si="2"/>
        <v>1088079</v>
      </c>
      <c r="I27" s="235">
        <f>'Table 7 Local Revenue'!AP26</f>
        <v>103649.5</v>
      </c>
      <c r="J27" s="14">
        <f t="shared" si="3"/>
        <v>2987282.5</v>
      </c>
    </row>
    <row r="28" spans="1:13">
      <c r="A28" s="18">
        <v>20</v>
      </c>
      <c r="B28" s="19" t="s">
        <v>112</v>
      </c>
      <c r="C28" s="20">
        <f>'Table 7 Local Revenue'!AE27</f>
        <v>6448353</v>
      </c>
      <c r="D28" s="20">
        <f>'Table 7 Local Revenue'!H27</f>
        <v>195544591.00000003</v>
      </c>
      <c r="E28" s="20">
        <f t="shared" si="1"/>
        <v>3250919</v>
      </c>
      <c r="F28" s="281">
        <f>'Table 7 Local Revenue'!AI27</f>
        <v>7729294</v>
      </c>
      <c r="G28" s="20">
        <f>'Table 7 Local Revenue'!AM27</f>
        <v>386464700</v>
      </c>
      <c r="H28" s="20">
        <f t="shared" si="2"/>
        <v>3160856</v>
      </c>
      <c r="I28" s="236">
        <f>'Table 7 Local Revenue'!AP27</f>
        <v>217794</v>
      </c>
      <c r="J28" s="20">
        <f t="shared" si="3"/>
        <v>6629569</v>
      </c>
    </row>
    <row r="29" spans="1:13">
      <c r="A29" s="12">
        <v>21</v>
      </c>
      <c r="B29" s="13" t="s">
        <v>113</v>
      </c>
      <c r="C29" s="14">
        <f>'Table 7 Local Revenue'!AE28</f>
        <v>1633836</v>
      </c>
      <c r="D29" s="14">
        <f>'Table 7 Local Revenue'!H28</f>
        <v>65238743.900000006</v>
      </c>
      <c r="E29" s="14">
        <f t="shared" si="1"/>
        <v>1084591</v>
      </c>
      <c r="F29" s="280">
        <f>'Table 7 Local Revenue'!AI28</f>
        <v>4813265</v>
      </c>
      <c r="G29" s="14">
        <f>'Table 7 Local Revenue'!AM28</f>
        <v>240663250</v>
      </c>
      <c r="H29" s="14">
        <f t="shared" si="2"/>
        <v>1968361</v>
      </c>
      <c r="I29" s="235">
        <f>'Table 7 Local Revenue'!AP28</f>
        <v>302697.5</v>
      </c>
      <c r="J29" s="14">
        <f t="shared" si="3"/>
        <v>3355649.5</v>
      </c>
    </row>
    <row r="30" spans="1:13">
      <c r="A30" s="12">
        <v>22</v>
      </c>
      <c r="B30" s="13" t="s">
        <v>114</v>
      </c>
      <c r="C30" s="14">
        <f>'Table 7 Local Revenue'!AE29</f>
        <v>2631090</v>
      </c>
      <c r="D30" s="14">
        <f>'Table 7 Local Revenue'!H29</f>
        <v>37430667</v>
      </c>
      <c r="E30" s="14">
        <f t="shared" si="1"/>
        <v>622283</v>
      </c>
      <c r="F30" s="280">
        <f>'Table 7 Local Revenue'!AI29</f>
        <v>2048816</v>
      </c>
      <c r="G30" s="14">
        <f>'Table 7 Local Revenue'!AM29</f>
        <v>102440800</v>
      </c>
      <c r="H30" s="14">
        <f t="shared" si="2"/>
        <v>837853</v>
      </c>
      <c r="I30" s="235">
        <f>'Table 7 Local Revenue'!AP29</f>
        <v>500783</v>
      </c>
      <c r="J30" s="14">
        <f t="shared" si="3"/>
        <v>1960919</v>
      </c>
    </row>
    <row r="31" spans="1:13">
      <c r="A31" s="12">
        <v>23</v>
      </c>
      <c r="B31" s="13" t="s">
        <v>115</v>
      </c>
      <c r="C31" s="14">
        <f>'Table 7 Local Revenue'!AE30</f>
        <v>15977092</v>
      </c>
      <c r="D31" s="14">
        <f>'Table 7 Local Revenue'!H30</f>
        <v>496990013</v>
      </c>
      <c r="E31" s="14">
        <f t="shared" si="1"/>
        <v>8262434</v>
      </c>
      <c r="F31" s="280">
        <f>'Table 7 Local Revenue'!AI30</f>
        <v>28486445</v>
      </c>
      <c r="G31" s="14">
        <f>'Table 7 Local Revenue'!AM30</f>
        <v>1424322250</v>
      </c>
      <c r="H31" s="14">
        <f t="shared" si="2"/>
        <v>11649389</v>
      </c>
      <c r="I31" s="235">
        <f>'Table 7 Local Revenue'!AP30</f>
        <v>566332</v>
      </c>
      <c r="J31" s="14">
        <f t="shared" si="3"/>
        <v>20478155</v>
      </c>
    </row>
    <row r="32" spans="1:13">
      <c r="A32" s="12">
        <v>24</v>
      </c>
      <c r="B32" s="13" t="s">
        <v>116</v>
      </c>
      <c r="C32" s="14">
        <f>'Table 7 Local Revenue'!AE31</f>
        <v>23779006</v>
      </c>
      <c r="D32" s="14">
        <f>'Table 7 Local Revenue'!H31</f>
        <v>424347580</v>
      </c>
      <c r="E32" s="14">
        <f t="shared" si="1"/>
        <v>7054757</v>
      </c>
      <c r="F32" s="280">
        <f>'Table 7 Local Revenue'!AI31</f>
        <v>18663520</v>
      </c>
      <c r="G32" s="14">
        <f>'Table 7 Local Revenue'!AM31</f>
        <v>933176000</v>
      </c>
      <c r="H32" s="14">
        <f t="shared" si="2"/>
        <v>7632353</v>
      </c>
      <c r="I32" s="235">
        <f>'Table 7 Local Revenue'!AP31</f>
        <v>144561</v>
      </c>
      <c r="J32" s="14">
        <f t="shared" si="3"/>
        <v>14831671</v>
      </c>
    </row>
    <row r="33" spans="1:10">
      <c r="A33" s="18">
        <v>25</v>
      </c>
      <c r="B33" s="19" t="s">
        <v>117</v>
      </c>
      <c r="C33" s="20">
        <f>'Table 7 Local Revenue'!AE32</f>
        <v>5858386</v>
      </c>
      <c r="D33" s="20">
        <f>'Table 7 Local Revenue'!H32</f>
        <v>225747973.00000003</v>
      </c>
      <c r="E33" s="20">
        <f t="shared" si="1"/>
        <v>3753049</v>
      </c>
      <c r="F33" s="281">
        <f>'Table 7 Local Revenue'!AI32</f>
        <v>6066114</v>
      </c>
      <c r="G33" s="20">
        <f>'Table 7 Local Revenue'!AM32</f>
        <v>202203800</v>
      </c>
      <c r="H33" s="20">
        <f t="shared" si="2"/>
        <v>1653805</v>
      </c>
      <c r="I33" s="236">
        <f>'Table 7 Local Revenue'!AP32</f>
        <v>111624</v>
      </c>
      <c r="J33" s="20">
        <f t="shared" si="3"/>
        <v>5518478</v>
      </c>
    </row>
    <row r="34" spans="1:10">
      <c r="A34" s="12">
        <v>26</v>
      </c>
      <c r="B34" s="13" t="s">
        <v>118</v>
      </c>
      <c r="C34" s="14">
        <f>'Table 7 Local Revenue'!AE33</f>
        <v>74143404</v>
      </c>
      <c r="D34" s="14">
        <f>'Table 7 Local Revenue'!H33</f>
        <v>3247560992</v>
      </c>
      <c r="E34" s="14">
        <f t="shared" si="1"/>
        <v>53990539</v>
      </c>
      <c r="F34" s="280">
        <f>'Table 7 Local Revenue'!AI33</f>
        <v>170801950</v>
      </c>
      <c r="G34" s="14">
        <f>'Table 7 Local Revenue'!AM33</f>
        <v>8540097500</v>
      </c>
      <c r="H34" s="14">
        <f t="shared" si="2"/>
        <v>69848603</v>
      </c>
      <c r="I34" s="235">
        <f>'Table 7 Local Revenue'!AP33</f>
        <v>2145651</v>
      </c>
      <c r="J34" s="14">
        <f t="shared" si="3"/>
        <v>125984793</v>
      </c>
    </row>
    <row r="35" spans="1:10">
      <c r="A35" s="12">
        <v>27</v>
      </c>
      <c r="B35" s="13" t="s">
        <v>119</v>
      </c>
      <c r="C35" s="14">
        <f>'Table 7 Local Revenue'!AE34</f>
        <v>7119473</v>
      </c>
      <c r="D35" s="14">
        <f>'Table 7 Local Revenue'!H34</f>
        <v>177777062</v>
      </c>
      <c r="E35" s="14">
        <f t="shared" si="1"/>
        <v>2955535</v>
      </c>
      <c r="F35" s="280">
        <f>'Table 7 Local Revenue'!AI34</f>
        <v>10452075</v>
      </c>
      <c r="G35" s="14">
        <f>'Table 7 Local Revenue'!AM34</f>
        <v>418083000</v>
      </c>
      <c r="H35" s="14">
        <f t="shared" si="2"/>
        <v>3419459</v>
      </c>
      <c r="I35" s="235">
        <f>'Table 7 Local Revenue'!AP34</f>
        <v>317110.5</v>
      </c>
      <c r="J35" s="14">
        <f t="shared" si="3"/>
        <v>6692104.5</v>
      </c>
    </row>
    <row r="36" spans="1:10">
      <c r="A36" s="12">
        <v>28</v>
      </c>
      <c r="B36" s="13" t="s">
        <v>120</v>
      </c>
      <c r="C36" s="14">
        <f>'Table 7 Local Revenue'!AE35</f>
        <v>53332824</v>
      </c>
      <c r="D36" s="14">
        <f>'Table 7 Local Revenue'!H35</f>
        <v>1643740403</v>
      </c>
      <c r="E36" s="14">
        <f t="shared" si="1"/>
        <v>27327102</v>
      </c>
      <c r="F36" s="280">
        <f>'Table 7 Local Revenue'!AI35</f>
        <v>106378874</v>
      </c>
      <c r="G36" s="14">
        <f>'Table 7 Local Revenue'!AM35</f>
        <v>5318943700</v>
      </c>
      <c r="H36" s="14">
        <f t="shared" si="2"/>
        <v>43503109</v>
      </c>
      <c r="I36" s="235">
        <f>'Table 7 Local Revenue'!AP35</f>
        <v>2195963.5</v>
      </c>
      <c r="J36" s="14">
        <f t="shared" si="3"/>
        <v>73026174.5</v>
      </c>
    </row>
    <row r="37" spans="1:10">
      <c r="A37" s="12">
        <v>29</v>
      </c>
      <c r="B37" s="13" t="s">
        <v>121</v>
      </c>
      <c r="C37" s="14">
        <f>'Table 7 Local Revenue'!AE36</f>
        <v>31756717</v>
      </c>
      <c r="D37" s="14">
        <f>'Table 7 Local Revenue'!H36</f>
        <v>749161181</v>
      </c>
      <c r="E37" s="14">
        <f t="shared" si="1"/>
        <v>12454767</v>
      </c>
      <c r="F37" s="280">
        <f>'Table 7 Local Revenue'!AI36</f>
        <v>28382070</v>
      </c>
      <c r="G37" s="14">
        <f>'Table 7 Local Revenue'!AM36</f>
        <v>1419103500</v>
      </c>
      <c r="H37" s="14">
        <f t="shared" si="2"/>
        <v>11606706</v>
      </c>
      <c r="I37" s="235">
        <f>'Table 7 Local Revenue'!AP36</f>
        <v>982660</v>
      </c>
      <c r="J37" s="14">
        <f t="shared" si="3"/>
        <v>25044133</v>
      </c>
    </row>
    <row r="38" spans="1:10">
      <c r="A38" s="18">
        <v>30</v>
      </c>
      <c r="B38" s="19" t="s">
        <v>122</v>
      </c>
      <c r="C38" s="20">
        <f>'Table 7 Local Revenue'!AE37</f>
        <v>3115721</v>
      </c>
      <c r="D38" s="20">
        <f>'Table 7 Local Revenue'!H37</f>
        <v>67108707</v>
      </c>
      <c r="E38" s="20">
        <f t="shared" si="1"/>
        <v>1115679</v>
      </c>
      <c r="F38" s="281">
        <f>'Table 7 Local Revenue'!AI37</f>
        <v>6234911</v>
      </c>
      <c r="G38" s="20">
        <f>'Table 7 Local Revenue'!AM37</f>
        <v>207830367</v>
      </c>
      <c r="H38" s="20">
        <f t="shared" si="2"/>
        <v>1699824</v>
      </c>
      <c r="I38" s="236">
        <f>'Table 7 Local Revenue'!AP37</f>
        <v>86133.5</v>
      </c>
      <c r="J38" s="20">
        <f t="shared" si="3"/>
        <v>2901636.5</v>
      </c>
    </row>
    <row r="39" spans="1:10">
      <c r="A39" s="12">
        <v>31</v>
      </c>
      <c r="B39" s="13" t="s">
        <v>123</v>
      </c>
      <c r="C39" s="14">
        <f>'Table 7 Local Revenue'!AE38</f>
        <v>16296073</v>
      </c>
      <c r="D39" s="14">
        <f>'Table 7 Local Revenue'!H38</f>
        <v>354926711</v>
      </c>
      <c r="E39" s="14">
        <f t="shared" si="1"/>
        <v>5900639</v>
      </c>
      <c r="F39" s="280">
        <f>'Table 7 Local Revenue'!AI38</f>
        <v>14341049</v>
      </c>
      <c r="G39" s="14">
        <f>'Table 7 Local Revenue'!AM38</f>
        <v>717052450</v>
      </c>
      <c r="H39" s="14">
        <f t="shared" si="2"/>
        <v>5864700</v>
      </c>
      <c r="I39" s="235">
        <f>'Table 7 Local Revenue'!AP38</f>
        <v>306872</v>
      </c>
      <c r="J39" s="14">
        <f t="shared" si="3"/>
        <v>12072211</v>
      </c>
    </row>
    <row r="40" spans="1:10">
      <c r="A40" s="12">
        <v>32</v>
      </c>
      <c r="B40" s="13" t="s">
        <v>124</v>
      </c>
      <c r="C40" s="14">
        <f>'Table 7 Local Revenue'!AE39</f>
        <v>14885692</v>
      </c>
      <c r="D40" s="14">
        <f>'Table 7 Local Revenue'!H39</f>
        <v>422388150</v>
      </c>
      <c r="E40" s="14">
        <f t="shared" si="1"/>
        <v>7022182</v>
      </c>
      <c r="F40" s="280">
        <f>'Table 7 Local Revenue'!AI39</f>
        <v>34700602</v>
      </c>
      <c r="G40" s="14">
        <f>'Table 7 Local Revenue'!AM39</f>
        <v>1388024080</v>
      </c>
      <c r="H40" s="14">
        <f t="shared" si="2"/>
        <v>11352510</v>
      </c>
      <c r="I40" s="235">
        <f>'Table 7 Local Revenue'!AP39</f>
        <v>938971.5</v>
      </c>
      <c r="J40" s="14">
        <f t="shared" si="3"/>
        <v>19313663.5</v>
      </c>
    </row>
    <row r="41" spans="1:10">
      <c r="A41" s="12">
        <v>33</v>
      </c>
      <c r="B41" s="13" t="s">
        <v>125</v>
      </c>
      <c r="C41" s="14">
        <f>'Table 7 Local Revenue'!AE40</f>
        <v>2418468</v>
      </c>
      <c r="D41" s="14">
        <f>'Table 7 Local Revenue'!H40</f>
        <v>105829543</v>
      </c>
      <c r="E41" s="14">
        <f t="shared" ref="E41:E72" si="4">ROUND(D41*$E$6/1000,0)</f>
        <v>1759411</v>
      </c>
      <c r="F41" s="280">
        <f>'Table 7 Local Revenue'!AI40</f>
        <v>2804712</v>
      </c>
      <c r="G41" s="14">
        <f>'Table 7 Local Revenue'!AM40</f>
        <v>112188480</v>
      </c>
      <c r="H41" s="14">
        <f t="shared" ref="H41:H72" si="5">ROUND(G41*$H$6,0)</f>
        <v>917578</v>
      </c>
      <c r="I41" s="235">
        <f>'Table 7 Local Revenue'!AP40</f>
        <v>97126</v>
      </c>
      <c r="J41" s="14">
        <f t="shared" ref="J41:J72" si="6">E41+H41+I41</f>
        <v>2774115</v>
      </c>
    </row>
    <row r="42" spans="1:10">
      <c r="A42" s="12">
        <v>34</v>
      </c>
      <c r="B42" s="13" t="s">
        <v>126</v>
      </c>
      <c r="C42" s="14">
        <f>'Table 7 Local Revenue'!AE41</f>
        <v>6150553</v>
      </c>
      <c r="D42" s="14">
        <f>'Table 7 Local Revenue'!H41</f>
        <v>152289716</v>
      </c>
      <c r="E42" s="14">
        <f t="shared" si="4"/>
        <v>2531809</v>
      </c>
      <c r="F42" s="280">
        <f>'Table 7 Local Revenue'!AI41</f>
        <v>5912154</v>
      </c>
      <c r="G42" s="14">
        <f>'Table 7 Local Revenue'!AM41</f>
        <v>295607700</v>
      </c>
      <c r="H42" s="14">
        <f t="shared" si="5"/>
        <v>2417746</v>
      </c>
      <c r="I42" s="235">
        <f>'Table 7 Local Revenue'!AP41</f>
        <v>246493.5</v>
      </c>
      <c r="J42" s="14">
        <f t="shared" si="6"/>
        <v>5196048.5</v>
      </c>
    </row>
    <row r="43" spans="1:10">
      <c r="A43" s="18">
        <v>35</v>
      </c>
      <c r="B43" s="19" t="s">
        <v>127</v>
      </c>
      <c r="C43" s="20">
        <f>'Table 7 Local Revenue'!AE42</f>
        <v>7000315</v>
      </c>
      <c r="D43" s="20">
        <f>'Table 7 Local Revenue'!H42</f>
        <v>241854644</v>
      </c>
      <c r="E43" s="20">
        <f t="shared" si="4"/>
        <v>4020821</v>
      </c>
      <c r="F43" s="281">
        <f>'Table 7 Local Revenue'!AI42</f>
        <v>15482135</v>
      </c>
      <c r="G43" s="20">
        <f>'Table 7 Local Revenue'!AM42</f>
        <v>765851010</v>
      </c>
      <c r="H43" s="20">
        <f t="shared" si="5"/>
        <v>6263819</v>
      </c>
      <c r="I43" s="236">
        <f>'Table 7 Local Revenue'!AP42</f>
        <v>1089831</v>
      </c>
      <c r="J43" s="20">
        <f t="shared" si="6"/>
        <v>11374471</v>
      </c>
    </row>
    <row r="44" spans="1:10" s="75" customFormat="1">
      <c r="A44" s="101">
        <v>36</v>
      </c>
      <c r="B44" s="81" t="s">
        <v>128</v>
      </c>
      <c r="C44" s="77">
        <f>'Table 7 Local Revenue'!AE43</f>
        <v>120447536</v>
      </c>
      <c r="D44" s="77">
        <f>'Table 7 Local Revenue'!H43</f>
        <v>2949672237</v>
      </c>
      <c r="E44" s="77">
        <f t="shared" si="4"/>
        <v>49038153</v>
      </c>
      <c r="F44" s="282">
        <f>'Table 7 Local Revenue'!AI43</f>
        <v>90820786</v>
      </c>
      <c r="G44" s="77">
        <f>'Table 7 Local Revenue'!AM43</f>
        <v>6054719067</v>
      </c>
      <c r="H44" s="77">
        <f t="shared" si="5"/>
        <v>49520942</v>
      </c>
      <c r="I44" s="163">
        <f>'Table 7 Local Revenue'!AP43</f>
        <v>2253417</v>
      </c>
      <c r="J44" s="77">
        <f t="shared" si="6"/>
        <v>100812512</v>
      </c>
    </row>
    <row r="45" spans="1:10" s="75" customFormat="1">
      <c r="A45" s="101">
        <v>37</v>
      </c>
      <c r="B45" s="81" t="s">
        <v>129</v>
      </c>
      <c r="C45" s="77">
        <f>'Table 7 Local Revenue'!AE44</f>
        <v>22375691</v>
      </c>
      <c r="D45" s="77">
        <f>'Table 7 Local Revenue'!H44</f>
        <v>556225024</v>
      </c>
      <c r="E45" s="77">
        <f t="shared" si="4"/>
        <v>9247213</v>
      </c>
      <c r="F45" s="282">
        <f>'Table 7 Local Revenue'!AI44</f>
        <v>39402765</v>
      </c>
      <c r="G45" s="77">
        <f>'Table 7 Local Revenue'!AM44</f>
        <v>1313425500</v>
      </c>
      <c r="H45" s="77">
        <f t="shared" si="5"/>
        <v>10742376</v>
      </c>
      <c r="I45" s="163">
        <f>'Table 7 Local Revenue'!AP44</f>
        <v>848543.5</v>
      </c>
      <c r="J45" s="77">
        <f t="shared" si="6"/>
        <v>20838132.5</v>
      </c>
    </row>
    <row r="46" spans="1:10" s="75" customFormat="1">
      <c r="A46" s="101">
        <v>38</v>
      </c>
      <c r="B46" s="81" t="s">
        <v>130</v>
      </c>
      <c r="C46" s="77">
        <f>'Table 7 Local Revenue'!AE45</f>
        <v>21462320</v>
      </c>
      <c r="D46" s="77">
        <f>'Table 7 Local Revenue'!H45</f>
        <v>940328297</v>
      </c>
      <c r="E46" s="77">
        <f t="shared" si="4"/>
        <v>15632911</v>
      </c>
      <c r="F46" s="282">
        <f>'Table 7 Local Revenue'!AI45</f>
        <v>20498792</v>
      </c>
      <c r="G46" s="77">
        <f>'Table 7 Local Revenue'!AM45</f>
        <v>1024939600</v>
      </c>
      <c r="H46" s="77">
        <f t="shared" si="5"/>
        <v>8382878</v>
      </c>
      <c r="I46" s="163">
        <f>'Table 7 Local Revenue'!AP45</f>
        <v>126930.5</v>
      </c>
      <c r="J46" s="77">
        <f t="shared" si="6"/>
        <v>24142719.5</v>
      </c>
    </row>
    <row r="47" spans="1:10" s="75" customFormat="1">
      <c r="A47" s="101">
        <v>39</v>
      </c>
      <c r="B47" s="81" t="s">
        <v>131</v>
      </c>
      <c r="C47" s="77">
        <f>'Table 7 Local Revenue'!AE46</f>
        <v>5893495</v>
      </c>
      <c r="D47" s="77">
        <f>'Table 7 Local Revenue'!H46</f>
        <v>335754791</v>
      </c>
      <c r="E47" s="77">
        <f t="shared" si="4"/>
        <v>5581907</v>
      </c>
      <c r="F47" s="282">
        <f>'Table 7 Local Revenue'!AI46</f>
        <v>6689700</v>
      </c>
      <c r="G47" s="77">
        <f>'Table 7 Local Revenue'!AM46</f>
        <v>331755450</v>
      </c>
      <c r="H47" s="77">
        <f t="shared" si="5"/>
        <v>2713395</v>
      </c>
      <c r="I47" s="163">
        <f>'Table 7 Local Revenue'!AP46</f>
        <v>156094</v>
      </c>
      <c r="J47" s="77">
        <f t="shared" si="6"/>
        <v>8451396</v>
      </c>
    </row>
    <row r="48" spans="1:10" s="75" customFormat="1">
      <c r="A48" s="102">
        <v>40</v>
      </c>
      <c r="B48" s="82" t="s">
        <v>132</v>
      </c>
      <c r="C48" s="78">
        <f>'Table 7 Local Revenue'!AE47</f>
        <v>32280415</v>
      </c>
      <c r="D48" s="78">
        <f>'Table 7 Local Revenue'!H47</f>
        <v>649813800</v>
      </c>
      <c r="E48" s="78">
        <f t="shared" si="4"/>
        <v>10803122</v>
      </c>
      <c r="F48" s="283">
        <f>'Table 7 Local Revenue'!AI47</f>
        <v>35861372</v>
      </c>
      <c r="G48" s="78">
        <f>'Table 7 Local Revenue'!AM47</f>
        <v>2390758133</v>
      </c>
      <c r="H48" s="78">
        <f t="shared" si="5"/>
        <v>19553772</v>
      </c>
      <c r="I48" s="164">
        <f>'Table 7 Local Revenue'!AP47</f>
        <v>1136698</v>
      </c>
      <c r="J48" s="20">
        <f t="shared" si="6"/>
        <v>31493592</v>
      </c>
    </row>
    <row r="49" spans="1:10" s="75" customFormat="1">
      <c r="A49" s="101">
        <v>41</v>
      </c>
      <c r="B49" s="81" t="s">
        <v>133</v>
      </c>
      <c r="C49" s="77">
        <f>'Table 7 Local Revenue'!AE48</f>
        <v>6946597</v>
      </c>
      <c r="D49" s="77">
        <f>'Table 7 Local Revenue'!H48</f>
        <v>126295961.00000001</v>
      </c>
      <c r="E49" s="77">
        <f t="shared" si="4"/>
        <v>2099664</v>
      </c>
      <c r="F49" s="282">
        <f>'Table 7 Local Revenue'!AI48</f>
        <v>9322096</v>
      </c>
      <c r="G49" s="77">
        <f>'Table 7 Local Revenue'!AM48</f>
        <v>466104800</v>
      </c>
      <c r="H49" s="77">
        <f t="shared" si="5"/>
        <v>3812225</v>
      </c>
      <c r="I49" s="163">
        <f>'Table 7 Local Revenue'!AP48</f>
        <v>354096.5</v>
      </c>
      <c r="J49" s="77">
        <f t="shared" si="6"/>
        <v>6265985.5</v>
      </c>
    </row>
    <row r="50" spans="1:10" s="75" customFormat="1">
      <c r="A50" s="101">
        <v>42</v>
      </c>
      <c r="B50" s="81" t="s">
        <v>134</v>
      </c>
      <c r="C50" s="77">
        <f>'Table 7 Local Revenue'!AE49</f>
        <v>4198485</v>
      </c>
      <c r="D50" s="77">
        <f>'Table 7 Local Revenue'!H49</f>
        <v>163695877.40000001</v>
      </c>
      <c r="E50" s="77">
        <f t="shared" si="4"/>
        <v>2721436</v>
      </c>
      <c r="F50" s="282">
        <f>'Table 7 Local Revenue'!AI49</f>
        <v>5712221</v>
      </c>
      <c r="G50" s="77">
        <f>'Table 7 Local Revenue'!AM49</f>
        <v>285611050</v>
      </c>
      <c r="H50" s="77">
        <f t="shared" si="5"/>
        <v>2335984</v>
      </c>
      <c r="I50" s="163">
        <f>'Table 7 Local Revenue'!AP49</f>
        <v>220912</v>
      </c>
      <c r="J50" s="77">
        <f t="shared" si="6"/>
        <v>5278332</v>
      </c>
    </row>
    <row r="51" spans="1:10" s="75" customFormat="1">
      <c r="A51" s="101">
        <v>43</v>
      </c>
      <c r="B51" s="81" t="s">
        <v>135</v>
      </c>
      <c r="C51" s="77">
        <f>'Table 7 Local Revenue'!AE50</f>
        <v>4020559</v>
      </c>
      <c r="D51" s="77">
        <f>'Table 7 Local Revenue'!H50</f>
        <v>113745743.10000001</v>
      </c>
      <c r="E51" s="77">
        <f t="shared" si="4"/>
        <v>1891017</v>
      </c>
      <c r="F51" s="282">
        <f>'Table 7 Local Revenue'!AI50</f>
        <v>16921657</v>
      </c>
      <c r="G51" s="77">
        <f>'Table 7 Local Revenue'!AM50</f>
        <v>676866280</v>
      </c>
      <c r="H51" s="77">
        <f t="shared" si="5"/>
        <v>5536022</v>
      </c>
      <c r="I51" s="163">
        <f>'Table 7 Local Revenue'!AP50</f>
        <v>400406.5</v>
      </c>
      <c r="J51" s="77">
        <f t="shared" si="6"/>
        <v>7827445.5</v>
      </c>
    </row>
    <row r="52" spans="1:10" s="75" customFormat="1">
      <c r="A52" s="101">
        <v>44</v>
      </c>
      <c r="B52" s="81" t="s">
        <v>136</v>
      </c>
      <c r="C52" s="77">
        <f>'Table 7 Local Revenue'!AE51</f>
        <v>13176608</v>
      </c>
      <c r="D52" s="77">
        <f>'Table 7 Local Revenue'!H51</f>
        <v>299901547</v>
      </c>
      <c r="E52" s="77">
        <f t="shared" si="4"/>
        <v>4985848</v>
      </c>
      <c r="F52" s="282">
        <f>'Table 7 Local Revenue'!AI51</f>
        <v>13783159</v>
      </c>
      <c r="G52" s="77">
        <f>'Table 7 Local Revenue'!AM51</f>
        <v>689157950</v>
      </c>
      <c r="H52" s="77">
        <f t="shared" si="5"/>
        <v>5636554</v>
      </c>
      <c r="I52" s="163">
        <f>'Table 7 Local Revenue'!AP51</f>
        <v>9218</v>
      </c>
      <c r="J52" s="77">
        <f t="shared" si="6"/>
        <v>10631620</v>
      </c>
    </row>
    <row r="53" spans="1:10">
      <c r="A53" s="18">
        <v>45</v>
      </c>
      <c r="B53" s="19" t="s">
        <v>137</v>
      </c>
      <c r="C53" s="20">
        <f>'Table 7 Local Revenue'!AE52</f>
        <v>60226672</v>
      </c>
      <c r="D53" s="20">
        <f>'Table 7 Local Revenue'!H52</f>
        <v>1098417385</v>
      </c>
      <c r="E53" s="20">
        <f t="shared" si="4"/>
        <v>18261134</v>
      </c>
      <c r="F53" s="281">
        <f>'Table 7 Local Revenue'!AI52</f>
        <v>57606395</v>
      </c>
      <c r="G53" s="20">
        <f>'Table 7 Local Revenue'!AM52</f>
        <v>1754679162.05</v>
      </c>
      <c r="H53" s="20">
        <f t="shared" si="5"/>
        <v>14351345</v>
      </c>
      <c r="I53" s="236">
        <f>'Table 7 Local Revenue'!AP52</f>
        <v>284373</v>
      </c>
      <c r="J53" s="20">
        <f t="shared" si="6"/>
        <v>32896852</v>
      </c>
    </row>
    <row r="54" spans="1:10">
      <c r="A54" s="12">
        <v>46</v>
      </c>
      <c r="B54" s="13" t="s">
        <v>138</v>
      </c>
      <c r="C54" s="14">
        <f>'Table 7 Local Revenue'!AE53</f>
        <v>757180</v>
      </c>
      <c r="D54" s="14">
        <f>'Table 7 Local Revenue'!H53</f>
        <v>42500740</v>
      </c>
      <c r="E54" s="14">
        <f t="shared" si="4"/>
        <v>706573</v>
      </c>
      <c r="F54" s="280">
        <f>'Table 7 Local Revenue'!AI53</f>
        <v>1366900</v>
      </c>
      <c r="G54" s="14">
        <f>'Table 7 Local Revenue'!AM53</f>
        <v>68345000</v>
      </c>
      <c r="H54" s="14">
        <f t="shared" si="5"/>
        <v>558987</v>
      </c>
      <c r="I54" s="235">
        <f>'Table 7 Local Revenue'!AP53</f>
        <v>33026</v>
      </c>
      <c r="J54" s="14">
        <f t="shared" si="6"/>
        <v>1298586</v>
      </c>
    </row>
    <row r="55" spans="1:10">
      <c r="A55" s="12">
        <v>47</v>
      </c>
      <c r="B55" s="13" t="s">
        <v>139</v>
      </c>
      <c r="C55" s="14">
        <f>'Table 7 Local Revenue'!AE54</f>
        <v>18553686</v>
      </c>
      <c r="D55" s="14">
        <f>'Table 7 Local Revenue'!H54</f>
        <v>409772295</v>
      </c>
      <c r="E55" s="14">
        <f t="shared" si="4"/>
        <v>6812444</v>
      </c>
      <c r="F55" s="280">
        <f>'Table 7 Local Revenue'!AI54</f>
        <v>18100976</v>
      </c>
      <c r="G55" s="14">
        <f>'Table 7 Local Revenue'!AM54</f>
        <v>724039040</v>
      </c>
      <c r="H55" s="14">
        <f t="shared" si="5"/>
        <v>5921843</v>
      </c>
      <c r="I55" s="235">
        <f>'Table 7 Local Revenue'!AP54</f>
        <v>89424</v>
      </c>
      <c r="J55" s="14">
        <f t="shared" si="6"/>
        <v>12823711</v>
      </c>
    </row>
    <row r="56" spans="1:10">
      <c r="A56" s="12">
        <v>48</v>
      </c>
      <c r="B56" s="13" t="s">
        <v>197</v>
      </c>
      <c r="C56" s="14">
        <f>'Table 7 Local Revenue'!AE55</f>
        <v>13964291</v>
      </c>
      <c r="D56" s="14">
        <f>'Table 7 Local Revenue'!H55</f>
        <v>369188944</v>
      </c>
      <c r="E56" s="14">
        <f t="shared" si="4"/>
        <v>6137748</v>
      </c>
      <c r="F56" s="280">
        <f>'Table 7 Local Revenue'!AI55</f>
        <v>19928446</v>
      </c>
      <c r="G56" s="14">
        <f>'Table 7 Local Revenue'!AM55</f>
        <v>885708711</v>
      </c>
      <c r="H56" s="14">
        <f t="shared" si="5"/>
        <v>7244123</v>
      </c>
      <c r="I56" s="235">
        <f>'Table 7 Local Revenue'!AP55</f>
        <v>199965.5</v>
      </c>
      <c r="J56" s="14">
        <f t="shared" si="6"/>
        <v>13581836.5</v>
      </c>
    </row>
    <row r="57" spans="1:10">
      <c r="A57" s="12">
        <v>49</v>
      </c>
      <c r="B57" s="13" t="s">
        <v>140</v>
      </c>
      <c r="C57" s="14">
        <f>'Table 7 Local Revenue'!AE56</f>
        <v>10645595</v>
      </c>
      <c r="D57" s="14">
        <f>'Table 7 Local Revenue'!H56</f>
        <v>536501746</v>
      </c>
      <c r="E57" s="14">
        <f t="shared" si="4"/>
        <v>8919315</v>
      </c>
      <c r="F57" s="280">
        <f>'Table 7 Local Revenue'!AI56</f>
        <v>23493736</v>
      </c>
      <c r="G57" s="14">
        <f>'Table 7 Local Revenue'!AM56</f>
        <v>1174686800</v>
      </c>
      <c r="H57" s="14">
        <f t="shared" si="5"/>
        <v>9607646</v>
      </c>
      <c r="I57" s="235">
        <f>'Table 7 Local Revenue'!AP56</f>
        <v>610728</v>
      </c>
      <c r="J57" s="14">
        <f t="shared" si="6"/>
        <v>19137689</v>
      </c>
    </row>
    <row r="58" spans="1:10">
      <c r="A58" s="18">
        <v>50</v>
      </c>
      <c r="B58" s="19" t="s">
        <v>141</v>
      </c>
      <c r="C58" s="20">
        <f>'Table 7 Local Revenue'!AE57</f>
        <v>8842519</v>
      </c>
      <c r="D58" s="20">
        <f>'Table 7 Local Revenue'!H57</f>
        <v>262207197</v>
      </c>
      <c r="E58" s="20">
        <f t="shared" si="4"/>
        <v>4359182</v>
      </c>
      <c r="F58" s="281">
        <f>'Table 7 Local Revenue'!AI57</f>
        <v>13320229</v>
      </c>
      <c r="G58" s="20">
        <f>'Table 7 Local Revenue'!AM57</f>
        <v>666011450</v>
      </c>
      <c r="H58" s="20">
        <f t="shared" si="5"/>
        <v>5447241</v>
      </c>
      <c r="I58" s="236">
        <f>'Table 7 Local Revenue'!AP57</f>
        <v>581751.5</v>
      </c>
      <c r="J58" s="20">
        <f t="shared" si="6"/>
        <v>10388174.5</v>
      </c>
    </row>
    <row r="59" spans="1:10">
      <c r="A59" s="12">
        <v>51</v>
      </c>
      <c r="B59" s="13" t="s">
        <v>142</v>
      </c>
      <c r="C59" s="14">
        <f>'Table 7 Local Revenue'!AE58</f>
        <v>20886105</v>
      </c>
      <c r="D59" s="14">
        <f>'Table 7 Local Revenue'!H58</f>
        <v>622917334.60000002</v>
      </c>
      <c r="E59" s="14">
        <f t="shared" si="4"/>
        <v>10355970</v>
      </c>
      <c r="F59" s="280">
        <f>'Table 7 Local Revenue'!AI58</f>
        <v>17160175</v>
      </c>
      <c r="G59" s="14">
        <f>'Table 7 Local Revenue'!AM58</f>
        <v>980581429</v>
      </c>
      <c r="H59" s="14">
        <f t="shared" si="5"/>
        <v>8020077</v>
      </c>
      <c r="I59" s="235">
        <f>'Table 7 Local Revenue'!AP58</f>
        <v>492769.5</v>
      </c>
      <c r="J59" s="14">
        <f t="shared" si="6"/>
        <v>18868816.5</v>
      </c>
    </row>
    <row r="60" spans="1:10">
      <c r="A60" s="12">
        <v>52</v>
      </c>
      <c r="B60" s="13" t="s">
        <v>143</v>
      </c>
      <c r="C60" s="14">
        <f>'Table 7 Local Revenue'!AE59</f>
        <v>106414920</v>
      </c>
      <c r="D60" s="14">
        <f>'Table 7 Local Revenue'!H59</f>
        <v>1580693189</v>
      </c>
      <c r="E60" s="14">
        <f t="shared" si="4"/>
        <v>26278945</v>
      </c>
      <c r="F60" s="280">
        <f>'Table 7 Local Revenue'!AI59</f>
        <v>77922516</v>
      </c>
      <c r="G60" s="14">
        <f>'Table 7 Local Revenue'!AM59</f>
        <v>3896125800</v>
      </c>
      <c r="H60" s="14">
        <f t="shared" si="5"/>
        <v>31866023</v>
      </c>
      <c r="I60" s="235">
        <f>'Table 7 Local Revenue'!AP59</f>
        <v>1906476</v>
      </c>
      <c r="J60" s="14">
        <f t="shared" si="6"/>
        <v>60051444</v>
      </c>
    </row>
    <row r="61" spans="1:10">
      <c r="A61" s="12">
        <v>53</v>
      </c>
      <c r="B61" s="13" t="s">
        <v>144</v>
      </c>
      <c r="C61" s="14">
        <f>'Table 7 Local Revenue'!AE60</f>
        <v>3647276</v>
      </c>
      <c r="D61" s="14">
        <f>'Table 7 Local Revenue'!H60</f>
        <v>499247586</v>
      </c>
      <c r="E61" s="14">
        <f t="shared" si="4"/>
        <v>8299966</v>
      </c>
      <c r="F61" s="280">
        <f>'Table 7 Local Revenue'!AI60</f>
        <v>33468866</v>
      </c>
      <c r="G61" s="14">
        <f>'Table 7 Local Revenue'!AM60</f>
        <v>1673443300</v>
      </c>
      <c r="H61" s="14">
        <f t="shared" si="5"/>
        <v>13686925</v>
      </c>
      <c r="I61" s="235">
        <f>'Table 7 Local Revenue'!AP60</f>
        <v>182091</v>
      </c>
      <c r="J61" s="14">
        <f t="shared" si="6"/>
        <v>22168982</v>
      </c>
    </row>
    <row r="62" spans="1:10">
      <c r="A62" s="12">
        <v>54</v>
      </c>
      <c r="B62" s="13" t="s">
        <v>145</v>
      </c>
      <c r="C62" s="14">
        <f>'Table 7 Local Revenue'!AE61</f>
        <v>1577238</v>
      </c>
      <c r="D62" s="14">
        <f>'Table 7 Local Revenue'!H61</f>
        <v>44629015</v>
      </c>
      <c r="E62" s="14">
        <f t="shared" si="4"/>
        <v>741955</v>
      </c>
      <c r="F62" s="280">
        <f>'Table 7 Local Revenue'!AI61</f>
        <v>767244</v>
      </c>
      <c r="G62" s="14">
        <f>'Table 7 Local Revenue'!AM61</f>
        <v>45592057.049999997</v>
      </c>
      <c r="H62" s="14">
        <f t="shared" si="5"/>
        <v>372893</v>
      </c>
      <c r="I62" s="235">
        <f>'Table 7 Local Revenue'!AP61</f>
        <v>51592.5</v>
      </c>
      <c r="J62" s="14">
        <f t="shared" si="6"/>
        <v>1166440.5</v>
      </c>
    </row>
    <row r="63" spans="1:10">
      <c r="A63" s="18">
        <v>55</v>
      </c>
      <c r="B63" s="19" t="s">
        <v>146</v>
      </c>
      <c r="C63" s="20">
        <f>'Table 7 Local Revenue'!AE62</f>
        <v>6984212</v>
      </c>
      <c r="D63" s="20">
        <f>'Table 7 Local Revenue'!H62</f>
        <v>770363925</v>
      </c>
      <c r="E63" s="20">
        <f t="shared" si="4"/>
        <v>12807262</v>
      </c>
      <c r="F63" s="281">
        <f>'Table 7 Local Revenue'!AI62</f>
        <v>48824395</v>
      </c>
      <c r="G63" s="20">
        <f>'Table 7 Local Revenue'!AM62</f>
        <v>2347326683</v>
      </c>
      <c r="H63" s="20">
        <f t="shared" si="5"/>
        <v>19198550</v>
      </c>
      <c r="I63" s="236">
        <f>'Table 7 Local Revenue'!AP62</f>
        <v>307581.5</v>
      </c>
      <c r="J63" s="20">
        <f t="shared" si="6"/>
        <v>32313393.5</v>
      </c>
    </row>
    <row r="64" spans="1:10">
      <c r="A64" s="12">
        <v>56</v>
      </c>
      <c r="B64" s="13" t="s">
        <v>147</v>
      </c>
      <c r="C64" s="14">
        <f>'Table 7 Local Revenue'!AE63</f>
        <v>3552586</v>
      </c>
      <c r="D64" s="14">
        <f>'Table 7 Local Revenue'!H63</f>
        <v>158847686</v>
      </c>
      <c r="E64" s="14">
        <f t="shared" si="4"/>
        <v>2640835</v>
      </c>
      <c r="F64" s="280">
        <f>'Table 7 Local Revenue'!AI63</f>
        <v>4471356</v>
      </c>
      <c r="G64" s="14">
        <f>'Table 7 Local Revenue'!AM63</f>
        <v>223567800</v>
      </c>
      <c r="H64" s="14">
        <f t="shared" si="5"/>
        <v>1828539</v>
      </c>
      <c r="I64" s="235">
        <f>'Table 7 Local Revenue'!AP63</f>
        <v>151652</v>
      </c>
      <c r="J64" s="14">
        <f t="shared" si="6"/>
        <v>4621026</v>
      </c>
    </row>
    <row r="65" spans="1:10">
      <c r="A65" s="12">
        <v>57</v>
      </c>
      <c r="B65" s="13" t="s">
        <v>148</v>
      </c>
      <c r="C65" s="14">
        <f>'Table 7 Local Revenue'!AE64</f>
        <v>12144105</v>
      </c>
      <c r="D65" s="14">
        <f>'Table 7 Local Revenue'!H64</f>
        <v>310522580</v>
      </c>
      <c r="E65" s="14">
        <f t="shared" si="4"/>
        <v>5162422</v>
      </c>
      <c r="F65" s="280">
        <f>'Table 7 Local Revenue'!AI64</f>
        <v>11290503</v>
      </c>
      <c r="G65" s="14">
        <f>'Table 7 Local Revenue'!AM64</f>
        <v>752700200</v>
      </c>
      <c r="H65" s="14">
        <f t="shared" si="5"/>
        <v>6156260</v>
      </c>
      <c r="I65" s="235">
        <f>'Table 7 Local Revenue'!AP64</f>
        <v>2326234</v>
      </c>
      <c r="J65" s="14">
        <f t="shared" si="6"/>
        <v>13644916</v>
      </c>
    </row>
    <row r="66" spans="1:10">
      <c r="A66" s="12">
        <v>58</v>
      </c>
      <c r="B66" s="13" t="s">
        <v>149</v>
      </c>
      <c r="C66" s="14">
        <f>'Table 7 Local Revenue'!AE65</f>
        <v>7050163</v>
      </c>
      <c r="D66" s="14">
        <f>'Table 7 Local Revenue'!H65</f>
        <v>120655413</v>
      </c>
      <c r="E66" s="14">
        <f t="shared" si="4"/>
        <v>2005890</v>
      </c>
      <c r="F66" s="280">
        <f>'Table 7 Local Revenue'!AI65</f>
        <v>12246187</v>
      </c>
      <c r="G66" s="14">
        <f>'Table 7 Local Revenue'!AM65</f>
        <v>612309350</v>
      </c>
      <c r="H66" s="14">
        <f t="shared" si="5"/>
        <v>5008017</v>
      </c>
      <c r="I66" s="235">
        <f>'Table 7 Local Revenue'!AP65</f>
        <v>420654</v>
      </c>
      <c r="J66" s="14">
        <f t="shared" si="6"/>
        <v>7434561</v>
      </c>
    </row>
    <row r="67" spans="1:10">
      <c r="A67" s="12">
        <v>59</v>
      </c>
      <c r="B67" s="13" t="s">
        <v>150</v>
      </c>
      <c r="C67" s="14">
        <f>'Table 7 Local Revenue'!AE66</f>
        <v>3924675</v>
      </c>
      <c r="D67" s="14">
        <f>'Table 7 Local Revenue'!H66</f>
        <v>82288265</v>
      </c>
      <c r="E67" s="14">
        <f t="shared" si="4"/>
        <v>1368038</v>
      </c>
      <c r="F67" s="280">
        <f>'Table 7 Local Revenue'!AI66</f>
        <v>4135359</v>
      </c>
      <c r="G67" s="14">
        <f>'Table 7 Local Revenue'!AM66</f>
        <v>206767950</v>
      </c>
      <c r="H67" s="14">
        <f t="shared" si="5"/>
        <v>1691134</v>
      </c>
      <c r="I67" s="235">
        <f>'Table 7 Local Revenue'!AP66</f>
        <v>165555</v>
      </c>
      <c r="J67" s="14">
        <f t="shared" si="6"/>
        <v>3224727</v>
      </c>
    </row>
    <row r="68" spans="1:10">
      <c r="A68" s="18">
        <v>60</v>
      </c>
      <c r="B68" s="19" t="s">
        <v>151</v>
      </c>
      <c r="C68" s="20">
        <f>'Table 7 Local Revenue'!AE67</f>
        <v>11462696</v>
      </c>
      <c r="D68" s="20">
        <f>'Table 7 Local Revenue'!H67</f>
        <v>234473401</v>
      </c>
      <c r="E68" s="20">
        <f t="shared" si="4"/>
        <v>3898109</v>
      </c>
      <c r="F68" s="281">
        <f>'Table 7 Local Revenue'!AI67</f>
        <v>14520505</v>
      </c>
      <c r="G68" s="20">
        <f>'Table 7 Local Revenue'!AM67</f>
        <v>681713850</v>
      </c>
      <c r="H68" s="20">
        <f t="shared" si="5"/>
        <v>5575669</v>
      </c>
      <c r="I68" s="236">
        <f>'Table 7 Local Revenue'!AP67</f>
        <v>309654</v>
      </c>
      <c r="J68" s="20">
        <f t="shared" si="6"/>
        <v>9783432</v>
      </c>
    </row>
    <row r="69" spans="1:10">
      <c r="A69" s="12">
        <v>61</v>
      </c>
      <c r="B69" s="13" t="s">
        <v>152</v>
      </c>
      <c r="C69" s="14">
        <f>'Table 7 Local Revenue'!AE68</f>
        <v>12515557</v>
      </c>
      <c r="D69" s="14">
        <f>'Table 7 Local Revenue'!H68</f>
        <v>352890497</v>
      </c>
      <c r="E69" s="14">
        <f t="shared" si="4"/>
        <v>5866787</v>
      </c>
      <c r="F69" s="280">
        <f>'Table 7 Local Revenue'!AI68</f>
        <v>11835265</v>
      </c>
      <c r="G69" s="14">
        <f>'Table 7 Local Revenue'!AM68</f>
        <v>586929122.5</v>
      </c>
      <c r="H69" s="14">
        <f t="shared" si="5"/>
        <v>4800435</v>
      </c>
      <c r="I69" s="235">
        <f>'Table 7 Local Revenue'!AP68</f>
        <v>156507.5</v>
      </c>
      <c r="J69" s="14">
        <f t="shared" si="6"/>
        <v>10823729.5</v>
      </c>
    </row>
    <row r="70" spans="1:10">
      <c r="A70" s="12">
        <v>62</v>
      </c>
      <c r="B70" s="13" t="s">
        <v>153</v>
      </c>
      <c r="C70" s="14">
        <f>'Table 7 Local Revenue'!AE69</f>
        <v>1352401</v>
      </c>
      <c r="D70" s="14">
        <f>'Table 7 Local Revenue'!H69</f>
        <v>52777324</v>
      </c>
      <c r="E70" s="14">
        <f t="shared" si="4"/>
        <v>877420</v>
      </c>
      <c r="F70" s="280">
        <f>'Table 7 Local Revenue'!AI69</f>
        <v>2408700</v>
      </c>
      <c r="G70" s="14">
        <f>'Table 7 Local Revenue'!AM69</f>
        <v>120435000</v>
      </c>
      <c r="H70" s="14">
        <f t="shared" si="5"/>
        <v>985026</v>
      </c>
      <c r="I70" s="235">
        <f>'Table 7 Local Revenue'!AP69</f>
        <v>99511</v>
      </c>
      <c r="J70" s="14">
        <f t="shared" si="6"/>
        <v>1961957</v>
      </c>
    </row>
    <row r="71" spans="1:10">
      <c r="A71" s="12">
        <v>63</v>
      </c>
      <c r="B71" s="13" t="s">
        <v>154</v>
      </c>
      <c r="C71" s="14">
        <f>'Table 7 Local Revenue'!AE70</f>
        <v>9936486</v>
      </c>
      <c r="D71" s="14">
        <f>'Table 7 Local Revenue'!H70</f>
        <v>268313413</v>
      </c>
      <c r="E71" s="14">
        <f t="shared" si="4"/>
        <v>4460697</v>
      </c>
      <c r="F71" s="280">
        <f>'Table 7 Local Revenue'!AI70</f>
        <v>4451261</v>
      </c>
      <c r="G71" s="14">
        <f>'Table 7 Local Revenue'!AM70</f>
        <v>178050440</v>
      </c>
      <c r="H71" s="14">
        <f t="shared" si="5"/>
        <v>1456257</v>
      </c>
      <c r="I71" s="235">
        <f>'Table 7 Local Revenue'!AP70</f>
        <v>56320.5</v>
      </c>
      <c r="J71" s="14">
        <f t="shared" si="6"/>
        <v>5973274.5</v>
      </c>
    </row>
    <row r="72" spans="1:10">
      <c r="A72" s="12">
        <v>64</v>
      </c>
      <c r="B72" s="13" t="s">
        <v>155</v>
      </c>
      <c r="C72" s="14">
        <f>'Table 7 Local Revenue'!AE71</f>
        <v>2842235</v>
      </c>
      <c r="D72" s="14">
        <f>'Table 7 Local Revenue'!H71</f>
        <v>63270868</v>
      </c>
      <c r="E72" s="14">
        <f t="shared" si="4"/>
        <v>1051875</v>
      </c>
      <c r="F72" s="280">
        <f>'Table 7 Local Revenue'!AI71</f>
        <v>3671568</v>
      </c>
      <c r="G72" s="14">
        <f>'Table 7 Local Revenue'!AM71</f>
        <v>183578400</v>
      </c>
      <c r="H72" s="14">
        <f t="shared" si="5"/>
        <v>1501469</v>
      </c>
      <c r="I72" s="235">
        <f>'Table 7 Local Revenue'!AP71</f>
        <v>378258</v>
      </c>
      <c r="J72" s="14">
        <f t="shared" si="6"/>
        <v>2931602</v>
      </c>
    </row>
    <row r="73" spans="1:10">
      <c r="A73" s="18">
        <v>65</v>
      </c>
      <c r="B73" s="19" t="s">
        <v>156</v>
      </c>
      <c r="C73" s="20">
        <f>'Table 7 Local Revenue'!AE72</f>
        <v>15285079</v>
      </c>
      <c r="D73" s="20">
        <f>'Table 7 Local Revenue'!H72</f>
        <v>341110740</v>
      </c>
      <c r="E73" s="20">
        <f>ROUND(D73*$E$6/1000,0)</f>
        <v>5670949</v>
      </c>
      <c r="F73" s="281">
        <f>'Table 7 Local Revenue'!AI72</f>
        <v>25768276</v>
      </c>
      <c r="G73" s="20">
        <f>'Table 7 Local Revenue'!AM72</f>
        <v>1288413800</v>
      </c>
      <c r="H73" s="20">
        <f>ROUND(G73*$H$6,0)</f>
        <v>10537808</v>
      </c>
      <c r="I73" s="236">
        <f>'Table 7 Local Revenue'!AP72</f>
        <v>296519</v>
      </c>
      <c r="J73" s="20">
        <f>E73+H73+I73</f>
        <v>16505276</v>
      </c>
    </row>
    <row r="74" spans="1:10">
      <c r="A74" s="12">
        <v>66</v>
      </c>
      <c r="B74" s="13" t="s">
        <v>157</v>
      </c>
      <c r="C74" s="14">
        <f>'Table 7 Local Revenue'!AE73</f>
        <v>4816237</v>
      </c>
      <c r="D74" s="14">
        <f>'Table 7 Local Revenue'!H73</f>
        <v>76320120</v>
      </c>
      <c r="E74" s="14">
        <f>ROUND(D74*$E$6/1000,0)</f>
        <v>1268818</v>
      </c>
      <c r="F74" s="280">
        <f>'Table 7 Local Revenue'!AI73</f>
        <v>2415009</v>
      </c>
      <c r="G74" s="14">
        <f>'Table 7 Local Revenue'!AM73</f>
        <v>241500900</v>
      </c>
      <c r="H74" s="14">
        <f>ROUND(G74*$H$6,0)</f>
        <v>1975212</v>
      </c>
      <c r="I74" s="235">
        <f>'Table 7 Local Revenue'!AP73</f>
        <v>216332</v>
      </c>
      <c r="J74" s="14">
        <f>E74+H74+I74</f>
        <v>3460362</v>
      </c>
    </row>
    <row r="75" spans="1:10">
      <c r="A75" s="12">
        <v>67</v>
      </c>
      <c r="B75" s="13" t="s">
        <v>32</v>
      </c>
      <c r="C75" s="14">
        <f>'Table 7 Local Revenue'!AE74</f>
        <v>15578142</v>
      </c>
      <c r="D75" s="14">
        <f>'Table 7 Local Revenue'!H74</f>
        <v>197901490</v>
      </c>
      <c r="E75" s="14">
        <f>ROUND(D75*$E$6/1000,0)</f>
        <v>3290102</v>
      </c>
      <c r="F75" s="280">
        <f>'Table 7 Local Revenue'!AI74</f>
        <v>10609846</v>
      </c>
      <c r="G75" s="14">
        <f>'Table 7 Local Revenue'!AM74</f>
        <v>446314079.99999994</v>
      </c>
      <c r="H75" s="14">
        <f>ROUND(G75*$H$6,0)</f>
        <v>3650358</v>
      </c>
      <c r="I75" s="235">
        <f>'Table 7 Local Revenue'!AP74</f>
        <v>82848</v>
      </c>
      <c r="J75" s="14">
        <f>E75+H75+I75</f>
        <v>7023308</v>
      </c>
    </row>
    <row r="76" spans="1:10">
      <c r="A76" s="12">
        <v>68</v>
      </c>
      <c r="B76" s="13" t="s">
        <v>30</v>
      </c>
      <c r="C76" s="14">
        <f>'Table 7 Local Revenue'!AE75</f>
        <v>1754821</v>
      </c>
      <c r="D76" s="14">
        <f>'Table 7 Local Revenue'!H75</f>
        <v>40867730</v>
      </c>
      <c r="E76" s="14">
        <f>ROUND(D76*$E$6/1000,0)</f>
        <v>679424</v>
      </c>
      <c r="F76" s="280">
        <f>'Table 7 Local Revenue'!AI75</f>
        <v>3064477</v>
      </c>
      <c r="G76" s="14">
        <f>'Table 7 Local Revenue'!AM75</f>
        <v>153223850</v>
      </c>
      <c r="H76" s="14">
        <f>ROUND(G76*$H$6,0)</f>
        <v>1253203</v>
      </c>
      <c r="I76" s="235">
        <f>'Table 7 Local Revenue'!AP75</f>
        <v>45224</v>
      </c>
      <c r="J76" s="14">
        <f>E76+H76+I76</f>
        <v>1977851</v>
      </c>
    </row>
    <row r="77" spans="1:10">
      <c r="A77" s="154">
        <v>69</v>
      </c>
      <c r="B77" s="19" t="s">
        <v>208</v>
      </c>
      <c r="C77" s="14">
        <f>'Table 7 Local Revenue'!AE76</f>
        <v>6823501</v>
      </c>
      <c r="D77" s="14">
        <f>'Table 7 Local Revenue'!H76</f>
        <v>109834740</v>
      </c>
      <c r="E77" s="14">
        <f>ROUND(D77*$E$6/1000,0)</f>
        <v>1825997</v>
      </c>
      <c r="F77" s="280">
        <f>'Table 7 Local Revenue'!AI76</f>
        <v>7323537</v>
      </c>
      <c r="G77" s="14">
        <f>'Table 7 Local Revenue'!AM76</f>
        <v>292941480</v>
      </c>
      <c r="H77" s="14">
        <f>ROUND(G77*$H$6,0)</f>
        <v>2395939</v>
      </c>
      <c r="I77" s="235">
        <f>'Table 7 Local Revenue'!AP76</f>
        <v>0</v>
      </c>
      <c r="J77" s="14">
        <f>E77+H77+I77</f>
        <v>4221936</v>
      </c>
    </row>
    <row r="78" spans="1:10" ht="13.5" thickBot="1">
      <c r="A78" s="17"/>
      <c r="B78" s="43" t="s">
        <v>89</v>
      </c>
      <c r="C78" s="44">
        <f t="shared" ref="C78:J78" si="7">SUM(C9:C77)</f>
        <v>1371935890</v>
      </c>
      <c r="D78" s="44">
        <f t="shared" si="7"/>
        <v>33628503076.299995</v>
      </c>
      <c r="E78" s="44">
        <f t="shared" si="7"/>
        <v>559072183</v>
      </c>
      <c r="F78" s="44">
        <f t="shared" si="7"/>
        <v>1669272600</v>
      </c>
      <c r="G78" s="44">
        <f t="shared" si="7"/>
        <v>83696655339.525009</v>
      </c>
      <c r="H78" s="44">
        <f t="shared" si="7"/>
        <v>684546577</v>
      </c>
      <c r="I78" s="268">
        <f t="shared" si="7"/>
        <v>37437635.5</v>
      </c>
      <c r="J78" s="44">
        <f t="shared" si="7"/>
        <v>1281056395.5</v>
      </c>
    </row>
    <row r="79" spans="1:10" ht="13.5" thickTop="1"/>
    <row r="81" spans="5:6">
      <c r="F81" s="434">
        <f>'Table 3 Levels 1&amp;2'!V77</f>
        <v>0.65</v>
      </c>
    </row>
    <row r="84" spans="5:6" ht="18">
      <c r="E84" s="232"/>
      <c r="F84" s="233"/>
    </row>
  </sheetData>
  <mergeCells count="10">
    <mergeCell ref="A4:A6"/>
    <mergeCell ref="B4:B6"/>
    <mergeCell ref="C4:E4"/>
    <mergeCell ref="F4:J4"/>
    <mergeCell ref="C5:C6"/>
    <mergeCell ref="D5:D6"/>
    <mergeCell ref="F5:F6"/>
    <mergeCell ref="G5:G6"/>
    <mergeCell ref="I5:I6"/>
    <mergeCell ref="J5:J6"/>
  </mergeCells>
  <phoneticPr fontId="0" type="noConversion"/>
  <printOptions horizontalCentered="1"/>
  <pageMargins left="0.68" right="0.28999999999999998" top="1.19" bottom="0.38" header="0.33" footer="0.18"/>
  <pageSetup paperSize="5" scale="87" firstPageNumber="95" orientation="portrait" useFirstPageNumber="1" r:id="rId1"/>
  <headerFooter alignWithMargins="0">
    <oddHeader>&amp;L&amp;"Arial,Bold"&amp;18TABLE 6: FY2013-14 Budget Letter 
Local Deduction Calculation</oddHeader>
    <oddFooter>&amp;R&amp;12&amp;P</oddFooter>
  </headerFooter>
  <colBreaks count="1" manualBreakCount="1">
    <brk id="5" min="2" max="7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1"/>
  <sheetViews>
    <sheetView view="pageBreakPreview" zoomScale="90" zoomScaleNormal="70" zoomScaleSheetLayoutView="90" workbookViewId="0">
      <pane xSplit="2" ySplit="5" topLeftCell="C63" activePane="bottomRight" state="frozen"/>
      <selection activeCell="X8" sqref="X8:X75"/>
      <selection pane="topRight" activeCell="X8" sqref="X8:X75"/>
      <selection pane="bottomLeft" activeCell="X8" sqref="X8:X75"/>
      <selection pane="bottomRight" activeCell="C80" sqref="C79:I81"/>
    </sheetView>
  </sheetViews>
  <sheetFormatPr defaultRowHeight="12.75"/>
  <cols>
    <col min="1" max="1" width="3.42578125" bestFit="1" customWidth="1"/>
    <col min="2" max="2" width="17.85546875" customWidth="1"/>
    <col min="3" max="3" width="17.7109375" customWidth="1"/>
    <col min="4" max="4" width="13.28515625" bestFit="1" customWidth="1"/>
    <col min="5" max="5" width="14.5703125" bestFit="1" customWidth="1"/>
    <col min="6" max="9" width="12.85546875" bestFit="1" customWidth="1"/>
    <col min="10" max="10" width="13.28515625" customWidth="1"/>
    <col min="11" max="11" width="12.85546875" bestFit="1" customWidth="1"/>
    <col min="12" max="12" width="14.28515625" customWidth="1"/>
    <col min="13" max="13" width="13.140625" customWidth="1"/>
    <col min="14" max="21" width="12.42578125" customWidth="1"/>
    <col min="22" max="22" width="14" bestFit="1" customWidth="1"/>
    <col min="23" max="23" width="15.5703125" customWidth="1"/>
    <col min="24" max="24" width="18.5703125" bestFit="1" customWidth="1"/>
    <col min="26" max="26" width="9.140625" customWidth="1"/>
    <col min="27" max="27" width="12.5703125" bestFit="1" customWidth="1"/>
    <col min="30" max="30" width="9.140625" style="49"/>
    <col min="39" max="39" width="9.140625" style="47"/>
  </cols>
  <sheetData>
    <row r="1" spans="1:39" ht="12.75" customHeight="1">
      <c r="A1" s="1586" t="s">
        <v>395</v>
      </c>
      <c r="B1" s="1586" t="s">
        <v>246</v>
      </c>
      <c r="C1" s="1558" t="s">
        <v>937</v>
      </c>
      <c r="D1" s="1590" t="s">
        <v>618</v>
      </c>
      <c r="E1" s="1590" t="s">
        <v>619</v>
      </c>
      <c r="F1" s="1587" t="s">
        <v>620</v>
      </c>
      <c r="G1" s="1587" t="s">
        <v>621</v>
      </c>
      <c r="H1" s="1587" t="s">
        <v>622</v>
      </c>
      <c r="I1" s="1587" t="s">
        <v>623</v>
      </c>
      <c r="J1" s="1587" t="s">
        <v>624</v>
      </c>
      <c r="K1" s="1587" t="s">
        <v>625</v>
      </c>
      <c r="L1" s="1587" t="s">
        <v>626</v>
      </c>
      <c r="M1" s="1587" t="s">
        <v>627</v>
      </c>
      <c r="N1" s="1587" t="s">
        <v>939</v>
      </c>
      <c r="O1" s="1587" t="s">
        <v>940</v>
      </c>
      <c r="P1" s="1587" t="s">
        <v>941</v>
      </c>
      <c r="Q1" s="1587" t="s">
        <v>942</v>
      </c>
      <c r="R1" s="1587" t="s">
        <v>943</v>
      </c>
      <c r="S1" s="1587" t="s">
        <v>944</v>
      </c>
      <c r="T1" s="1587" t="s">
        <v>628</v>
      </c>
      <c r="U1" s="1587" t="s">
        <v>629</v>
      </c>
      <c r="V1" s="1592" t="s">
        <v>630</v>
      </c>
      <c r="W1" s="1595" t="s">
        <v>631</v>
      </c>
      <c r="X1" s="1587" t="s">
        <v>632</v>
      </c>
      <c r="AD1"/>
      <c r="AM1"/>
    </row>
    <row r="2" spans="1:39" ht="21" customHeight="1">
      <c r="A2" s="1577"/>
      <c r="B2" s="1577"/>
      <c r="C2" s="1558"/>
      <c r="D2" s="1591"/>
      <c r="E2" s="1591"/>
      <c r="F2" s="1588"/>
      <c r="G2" s="1588"/>
      <c r="H2" s="1588"/>
      <c r="I2" s="1588"/>
      <c r="J2" s="1588"/>
      <c r="K2" s="1588"/>
      <c r="L2" s="1588"/>
      <c r="M2" s="1588"/>
      <c r="N2" s="1588"/>
      <c r="O2" s="1588"/>
      <c r="P2" s="1588"/>
      <c r="Q2" s="1588"/>
      <c r="R2" s="1588"/>
      <c r="S2" s="1588"/>
      <c r="T2" s="1588"/>
      <c r="U2" s="1588"/>
      <c r="V2" s="1593"/>
      <c r="W2" s="1596"/>
      <c r="X2" s="1588"/>
      <c r="AD2"/>
      <c r="AM2"/>
    </row>
    <row r="3" spans="1:39" ht="24" customHeight="1">
      <c r="A3" s="1577"/>
      <c r="B3" s="1577"/>
      <c r="C3" s="1558"/>
      <c r="D3" s="1591"/>
      <c r="E3" s="1591"/>
      <c r="F3" s="1588"/>
      <c r="G3" s="1588"/>
      <c r="H3" s="1588"/>
      <c r="I3" s="1588"/>
      <c r="J3" s="1588"/>
      <c r="K3" s="1588"/>
      <c r="L3" s="1588"/>
      <c r="M3" s="1588"/>
      <c r="N3" s="1588"/>
      <c r="O3" s="1588"/>
      <c r="P3" s="1588"/>
      <c r="Q3" s="1588"/>
      <c r="R3" s="1588"/>
      <c r="S3" s="1588"/>
      <c r="T3" s="1588"/>
      <c r="U3" s="1588"/>
      <c r="V3" s="1593"/>
      <c r="W3" s="1596"/>
      <c r="X3" s="1588"/>
      <c r="AD3"/>
      <c r="AM3"/>
    </row>
    <row r="4" spans="1:39" ht="117.75" customHeight="1">
      <c r="A4" s="1578"/>
      <c r="B4" s="1578"/>
      <c r="C4" s="1558"/>
      <c r="D4" s="1582"/>
      <c r="E4" s="1582"/>
      <c r="F4" s="1589"/>
      <c r="G4" s="1589"/>
      <c r="H4" s="1589"/>
      <c r="I4" s="1589"/>
      <c r="J4" s="1589"/>
      <c r="K4" s="1589"/>
      <c r="L4" s="1589"/>
      <c r="M4" s="1589"/>
      <c r="N4" s="1589"/>
      <c r="O4" s="1589"/>
      <c r="P4" s="1589"/>
      <c r="Q4" s="1589"/>
      <c r="R4" s="1589"/>
      <c r="S4" s="1589"/>
      <c r="T4" s="1589"/>
      <c r="U4" s="1589"/>
      <c r="V4" s="1594"/>
      <c r="W4" s="1597"/>
      <c r="X4" s="1589"/>
      <c r="AD4"/>
      <c r="AM4"/>
    </row>
    <row r="5" spans="1:39" s="735" customFormat="1">
      <c r="A5" s="732"/>
      <c r="B5" s="733"/>
      <c r="C5" s="734">
        <v>1</v>
      </c>
      <c r="D5" s="734">
        <f>C5+1</f>
        <v>2</v>
      </c>
      <c r="E5" s="734">
        <f t="shared" ref="E5:H5" si="0">1+D5</f>
        <v>3</v>
      </c>
      <c r="F5" s="734">
        <f t="shared" si="0"/>
        <v>4</v>
      </c>
      <c r="G5" s="734">
        <f t="shared" si="0"/>
        <v>5</v>
      </c>
      <c r="H5" s="734">
        <f t="shared" si="0"/>
        <v>6</v>
      </c>
      <c r="I5" s="734">
        <f t="shared" ref="I5" si="1">H5+1</f>
        <v>7</v>
      </c>
      <c r="J5" s="734">
        <f t="shared" ref="J5" si="2">I5+1</f>
        <v>8</v>
      </c>
      <c r="K5" s="734">
        <f t="shared" ref="K5" si="3">J5+1</f>
        <v>9</v>
      </c>
      <c r="L5" s="734">
        <f t="shared" ref="L5" si="4">K5+1</f>
        <v>10</v>
      </c>
      <c r="M5" s="734">
        <f t="shared" ref="M5" si="5">L5+1</f>
        <v>11</v>
      </c>
      <c r="N5" s="734">
        <f t="shared" ref="N5" si="6">M5+1</f>
        <v>12</v>
      </c>
      <c r="O5" s="734">
        <f t="shared" ref="O5" si="7">N5+1</f>
        <v>13</v>
      </c>
      <c r="P5" s="734">
        <f t="shared" ref="P5" si="8">O5+1</f>
        <v>14</v>
      </c>
      <c r="Q5" s="734">
        <f t="shared" ref="Q5" si="9">P5+1</f>
        <v>15</v>
      </c>
      <c r="R5" s="734">
        <f t="shared" ref="R5" si="10">Q5+1</f>
        <v>16</v>
      </c>
      <c r="S5" s="734">
        <f t="shared" ref="S5" si="11">R5+1</f>
        <v>17</v>
      </c>
      <c r="T5" s="734">
        <f t="shared" ref="T5" si="12">S5+1</f>
        <v>18</v>
      </c>
      <c r="U5" s="734">
        <f t="shared" ref="U5" si="13">T5+1</f>
        <v>19</v>
      </c>
      <c r="V5" s="734">
        <f t="shared" ref="V5" si="14">U5+1</f>
        <v>20</v>
      </c>
      <c r="W5" s="734">
        <f t="shared" ref="W5" si="15">V5+1</f>
        <v>21</v>
      </c>
      <c r="X5" s="734">
        <f t="shared" ref="X5" si="16">W5+1</f>
        <v>22</v>
      </c>
    </row>
    <row r="6" spans="1:39">
      <c r="A6" s="99">
        <v>1</v>
      </c>
      <c r="B6" s="1038" t="s">
        <v>93</v>
      </c>
      <c r="C6" s="708">
        <f>'Table 2_State Distrib and Adjs'!X7</f>
        <v>51353402</v>
      </c>
      <c r="D6" s="1039"/>
      <c r="E6" s="1039"/>
      <c r="F6" s="1039">
        <f>-'Table 5C1A-Madison Prep'!O7-'Table 5C1A-Madison Prep'!R7</f>
        <v>0</v>
      </c>
      <c r="G6" s="358">
        <f>-'Table 5C1B-DArbonne'!O7-'Table 5C1B-DArbonne'!R7</f>
        <v>0</v>
      </c>
      <c r="H6" s="1039">
        <f>-'Table 5C1C-Intl_VIBE'!O7-'Table 5C1C-Intl_VIBE'!R7</f>
        <v>0</v>
      </c>
      <c r="I6" s="358">
        <f>-'Table 5C1D-NOMMA'!O7-'Table 5C1D-NOMMA'!R7</f>
        <v>0</v>
      </c>
      <c r="J6" s="1039">
        <f>-'Table 5C1E-LFNO'!Q7-'Table 5C1E-LFNO'!T7</f>
        <v>0</v>
      </c>
      <c r="K6" s="1123">
        <f>-'Table 5C1F-Lake Charles Charter'!O7-'Table 5C1F-Lake Charles Charter'!R7</f>
        <v>0</v>
      </c>
      <c r="L6" s="358">
        <f>-'Table 5C1G-JS Clark Academy'!O7-'Table 5C1G-JS Clark Academy'!R7</f>
        <v>0</v>
      </c>
      <c r="M6" s="358">
        <f>-'Table 5C1H-Southwest LA Charter'!O7-'Table 5C1H-Southwest LA Charter'!R7</f>
        <v>0</v>
      </c>
      <c r="N6" s="358">
        <f>-'Table 5C1I-LA Key Academy'!O7+'Table 5C1I-LA Key Academy'!R7</f>
        <v>0</v>
      </c>
      <c r="O6" s="358">
        <f>-'Table 5C1J-Jefferson Chamber'!O7+'Table 5C1J-Jefferson Chamber'!R7</f>
        <v>0</v>
      </c>
      <c r="P6" s="358">
        <f>-'Table 5C1K-Tallulah Charter'!O7+'Table 5C1K-Tallulah Charter'!R7</f>
        <v>0</v>
      </c>
      <c r="Q6" s="358">
        <f>-'Table 5C1L-Northshore Charter'!O7+'Table 5C1L-Northshore Charter'!R7</f>
        <v>0</v>
      </c>
      <c r="R6" s="358">
        <f>-'Table 5C1M-EBR Charter'!O7+'Table 5C1M-EBR Charter'!R7</f>
        <v>0</v>
      </c>
      <c r="S6" s="358">
        <f>-'Table 5C1N-Delta Charter'!O7+'Table 5C1N-Delta Charter'!R7</f>
        <v>0</v>
      </c>
      <c r="T6" s="358">
        <f>-'Table 5C2 - LA Virtual Admy'!P4-'Table 5C2 - LA Virtual Admy'!S4</f>
        <v>-25492.5</v>
      </c>
      <c r="U6" s="358">
        <f>-'Table 5C3 - LA Connections EBR'!P4-'Table 5C3 - LA Connections EBR'!S4</f>
        <v>-35121.599999999999</v>
      </c>
      <c r="V6" s="358">
        <f>-'Table 5E_OJJ'!P7-'Table 5E_OJJ'!Q7</f>
        <v>-4763.2734364109501</v>
      </c>
      <c r="W6" s="358">
        <f t="shared" ref="W6:W37" si="17">SUM(D6:V6)</f>
        <v>-65377.373436410948</v>
      </c>
      <c r="X6" s="736">
        <f t="shared" ref="X6:X37" si="18">SUM(C6:V6)</f>
        <v>51288024.626563586</v>
      </c>
      <c r="AA6" s="49"/>
      <c r="AD6"/>
      <c r="AM6"/>
    </row>
    <row r="7" spans="1:39">
      <c r="A7" s="99">
        <v>2</v>
      </c>
      <c r="B7" s="1038" t="s">
        <v>94</v>
      </c>
      <c r="C7" s="708">
        <f>'Table 2_State Distrib and Adjs'!X8</f>
        <v>28639825</v>
      </c>
      <c r="D7" s="1039"/>
      <c r="E7" s="1039"/>
      <c r="F7" s="1039">
        <f>-'Table 5C1A-Madison Prep'!O8-'Table 5C1A-Madison Prep'!R8</f>
        <v>0</v>
      </c>
      <c r="G7" s="1039">
        <f>-'Table 5C1B-DArbonne'!O8-'Table 5C1B-DArbonne'!R8</f>
        <v>0</v>
      </c>
      <c r="H7" s="1039">
        <f>-'Table 5C1C-Intl_VIBE'!O8-'Table 5C1C-Intl_VIBE'!R8</f>
        <v>0</v>
      </c>
      <c r="I7" s="1039">
        <f>-'Table 5C1D-NOMMA'!O8-'Table 5C1D-NOMMA'!R8</f>
        <v>0</v>
      </c>
      <c r="J7" s="1039">
        <f>-'Table 5C1E-LFNO'!Q8-'Table 5C1E-LFNO'!T8</f>
        <v>0</v>
      </c>
      <c r="K7" s="1039">
        <f>-'Table 5C1F-Lake Charles Charter'!O8-'Table 5C1F-Lake Charles Charter'!R8</f>
        <v>0</v>
      </c>
      <c r="L7" s="358">
        <f>-'Table 5C1G-JS Clark Academy'!O8-'Table 5C1G-JS Clark Academy'!R8</f>
        <v>0</v>
      </c>
      <c r="M7" s="358">
        <f>-'Table 5C1H-Southwest LA Charter'!O8-'Table 5C1H-Southwest LA Charter'!R8</f>
        <v>0</v>
      </c>
      <c r="N7" s="358">
        <f>-'Table 5C1I-LA Key Academy'!O8+'Table 5C1I-LA Key Academy'!R8</f>
        <v>0</v>
      </c>
      <c r="O7" s="358">
        <f>-'Table 5C1J-Jefferson Chamber'!O8+'Table 5C1J-Jefferson Chamber'!R8</f>
        <v>0</v>
      </c>
      <c r="P7" s="358">
        <f>-'Table 5C1K-Tallulah Charter'!O8+'Table 5C1K-Tallulah Charter'!R8</f>
        <v>0</v>
      </c>
      <c r="Q7" s="358">
        <f>-'Table 5C1L-Northshore Charter'!O8+'Table 5C1L-Northshore Charter'!R8</f>
        <v>0</v>
      </c>
      <c r="R7" s="358">
        <f>-'Table 5C1M-EBR Charter'!O8+'Table 5C1M-EBR Charter'!R8</f>
        <v>0</v>
      </c>
      <c r="S7" s="358">
        <f>-'Table 5C1N-Delta Charter'!O8+'Table 5C1N-Delta Charter'!R8</f>
        <v>0</v>
      </c>
      <c r="T7" s="358">
        <f>-'Table 5C2 - LA Virtual Admy'!P5-'Table 5C2 - LA Virtual Admy'!S5</f>
        <v>-10611.45</v>
      </c>
      <c r="U7" s="358">
        <f>-'Table 5C3 - LA Connections EBR'!P5-'Table 5C3 - LA Connections EBR'!S5</f>
        <v>-4728.6000000000004</v>
      </c>
      <c r="V7" s="358">
        <f>-'Table 5E_OJJ'!P8-'Table 5E_OJJ'!Q8</f>
        <v>0</v>
      </c>
      <c r="W7" s="358">
        <f t="shared" si="17"/>
        <v>-15340.050000000001</v>
      </c>
      <c r="X7" s="736">
        <f t="shared" si="18"/>
        <v>28624484.949999999</v>
      </c>
      <c r="AA7" s="49"/>
      <c r="AD7"/>
      <c r="AM7"/>
    </row>
    <row r="8" spans="1:39">
      <c r="A8" s="99">
        <v>3</v>
      </c>
      <c r="B8" s="1038" t="s">
        <v>95</v>
      </c>
      <c r="C8" s="708">
        <f>'Table 2_State Distrib and Adjs'!X9</f>
        <v>98592879</v>
      </c>
      <c r="D8" s="1039"/>
      <c r="E8" s="1039"/>
      <c r="F8" s="1039">
        <f>-'Table 5C1A-Madison Prep'!O9-'Table 5C1A-Madison Prep'!R9</f>
        <v>0</v>
      </c>
      <c r="G8" s="1039">
        <f>-'Table 5C1B-DArbonne'!O9-'Table 5C1B-DArbonne'!R9</f>
        <v>0</v>
      </c>
      <c r="H8" s="1039">
        <f>-'Table 5C1C-Intl_VIBE'!O9-'Table 5C1C-Intl_VIBE'!R9</f>
        <v>0</v>
      </c>
      <c r="I8" s="1039">
        <f>-'Table 5C1D-NOMMA'!O9-'Table 5C1D-NOMMA'!R9</f>
        <v>0</v>
      </c>
      <c r="J8" s="1039">
        <f>-'Table 5C1E-LFNO'!Q9-'Table 5C1E-LFNO'!T9</f>
        <v>0</v>
      </c>
      <c r="K8" s="1039">
        <f>-'Table 5C1F-Lake Charles Charter'!O9-'Table 5C1F-Lake Charles Charter'!R9</f>
        <v>0</v>
      </c>
      <c r="L8" s="358">
        <f>-'Table 5C1G-JS Clark Academy'!O9-'Table 5C1G-JS Clark Academy'!R9</f>
        <v>0</v>
      </c>
      <c r="M8" s="358">
        <f>-'Table 5C1H-Southwest LA Charter'!O9-'Table 5C1H-Southwest LA Charter'!R9</f>
        <v>0</v>
      </c>
      <c r="N8" s="358">
        <f>-'Table 5C1I-LA Key Academy'!O9+'Table 5C1I-LA Key Academy'!R9</f>
        <v>-119482</v>
      </c>
      <c r="O8" s="358">
        <f>-'Table 5C1J-Jefferson Chamber'!O9+'Table 5C1J-Jefferson Chamber'!R9</f>
        <v>0</v>
      </c>
      <c r="P8" s="358">
        <f>-'Table 5C1K-Tallulah Charter'!O9+'Table 5C1K-Tallulah Charter'!R9</f>
        <v>0</v>
      </c>
      <c r="Q8" s="358">
        <f>-'Table 5C1L-Northshore Charter'!O9+'Table 5C1L-Northshore Charter'!R9</f>
        <v>0</v>
      </c>
      <c r="R8" s="358">
        <f>-'Table 5C1M-EBR Charter'!O9+'Table 5C1M-EBR Charter'!R9</f>
        <v>0</v>
      </c>
      <c r="S8" s="358">
        <f>-'Table 5C1N-Delta Charter'!O9+'Table 5C1N-Delta Charter'!R9</f>
        <v>0</v>
      </c>
      <c r="T8" s="358">
        <f>-'Table 5C2 - LA Virtual Admy'!P6-'Table 5C2 - LA Virtual Admy'!S6</f>
        <v>-201727.35000000003</v>
      </c>
      <c r="U8" s="358">
        <f>-'Table 5C3 - LA Connections EBR'!P6-'Table 5C3 - LA Connections EBR'!S6</f>
        <v>-131973.30000000002</v>
      </c>
      <c r="V8" s="358">
        <f>-'Table 5E_OJJ'!P9-'Table 5E_OJJ'!Q9</f>
        <v>-4556.4254998190681</v>
      </c>
      <c r="W8" s="358">
        <f t="shared" si="17"/>
        <v>-457739.07549981907</v>
      </c>
      <c r="X8" s="736">
        <f t="shared" si="18"/>
        <v>98135139.924500197</v>
      </c>
      <c r="AA8" s="49"/>
      <c r="AD8"/>
      <c r="AM8"/>
    </row>
    <row r="9" spans="1:39">
      <c r="A9" s="99">
        <v>4</v>
      </c>
      <c r="B9" s="1038" t="s">
        <v>96</v>
      </c>
      <c r="C9" s="708">
        <f>'Table 2_State Distrib and Adjs'!X10</f>
        <v>23347037</v>
      </c>
      <c r="D9" s="1039"/>
      <c r="E9" s="1039"/>
      <c r="F9" s="1039">
        <f>-'Table 5C1A-Madison Prep'!O10-'Table 5C1A-Madison Prep'!R10</f>
        <v>0</v>
      </c>
      <c r="G9" s="1039">
        <f>-'Table 5C1B-DArbonne'!O10-'Table 5C1B-DArbonne'!R10</f>
        <v>0</v>
      </c>
      <c r="H9" s="1039">
        <f>-'Table 5C1C-Intl_VIBE'!O10-'Table 5C1C-Intl_VIBE'!R10</f>
        <v>0</v>
      </c>
      <c r="I9" s="1039">
        <f>-'Table 5C1D-NOMMA'!O10-'Table 5C1D-NOMMA'!R10</f>
        <v>0</v>
      </c>
      <c r="J9" s="1039">
        <f>-'Table 5C1E-LFNO'!Q10-'Table 5C1E-LFNO'!T10</f>
        <v>0</v>
      </c>
      <c r="K9" s="1039">
        <f>-'Table 5C1F-Lake Charles Charter'!O10-'Table 5C1F-Lake Charles Charter'!R10</f>
        <v>0</v>
      </c>
      <c r="L9" s="358">
        <f>-'Table 5C1G-JS Clark Academy'!O10-'Table 5C1G-JS Clark Academy'!R10</f>
        <v>0</v>
      </c>
      <c r="M9" s="358">
        <f>-'Table 5C1H-Southwest LA Charter'!O10-'Table 5C1H-Southwest LA Charter'!R10</f>
        <v>0</v>
      </c>
      <c r="N9" s="358">
        <f>-'Table 5C1I-LA Key Academy'!O10+'Table 5C1I-LA Key Academy'!R10</f>
        <v>0</v>
      </c>
      <c r="O9" s="358">
        <f>-'Table 5C1J-Jefferson Chamber'!O10+'Table 5C1J-Jefferson Chamber'!R10</f>
        <v>0</v>
      </c>
      <c r="P9" s="358">
        <f>-'Table 5C1K-Tallulah Charter'!O10+'Table 5C1K-Tallulah Charter'!R10</f>
        <v>0</v>
      </c>
      <c r="Q9" s="358">
        <f>-'Table 5C1L-Northshore Charter'!O10+'Table 5C1L-Northshore Charter'!R10</f>
        <v>0</v>
      </c>
      <c r="R9" s="358">
        <f>-'Table 5C1M-EBR Charter'!O10+'Table 5C1M-EBR Charter'!R10</f>
        <v>0</v>
      </c>
      <c r="S9" s="358">
        <f>-'Table 5C1N-Delta Charter'!O10+'Table 5C1N-Delta Charter'!R10</f>
        <v>0</v>
      </c>
      <c r="T9" s="358">
        <f>-'Table 5C2 - LA Virtual Admy'!P7-'Table 5C2 - LA Virtual Admy'!S7</f>
        <v>3323.7000000000007</v>
      </c>
      <c r="U9" s="358">
        <f>-'Table 5C3 - LA Connections EBR'!P7-'Table 5C3 - LA Connections EBR'!S7</f>
        <v>-8178.2999999999993</v>
      </c>
      <c r="V9" s="358">
        <f>-'Table 5E_OJJ'!P10-'Table 5E_OJJ'!Q10</f>
        <v>0</v>
      </c>
      <c r="W9" s="358">
        <f t="shared" si="17"/>
        <v>-4854.5999999999985</v>
      </c>
      <c r="X9" s="736">
        <f t="shared" si="18"/>
        <v>23342182.399999999</v>
      </c>
      <c r="AA9" s="49"/>
      <c r="AD9"/>
      <c r="AM9"/>
    </row>
    <row r="10" spans="1:39">
      <c r="A10" s="100">
        <v>5</v>
      </c>
      <c r="B10" s="1040" t="s">
        <v>97</v>
      </c>
      <c r="C10" s="709">
        <f>'Table 2_State Distrib and Adjs'!X11</f>
        <v>31702873</v>
      </c>
      <c r="D10" s="1041"/>
      <c r="E10" s="1041"/>
      <c r="F10" s="1041">
        <f>-'Table 5C1A-Madison Prep'!O11-'Table 5C1A-Madison Prep'!R11</f>
        <v>0</v>
      </c>
      <c r="G10" s="1041">
        <f>-'Table 5C1B-DArbonne'!O11-'Table 5C1B-DArbonne'!R11</f>
        <v>0</v>
      </c>
      <c r="H10" s="1041">
        <f>-'Table 5C1C-Intl_VIBE'!O11-'Table 5C1C-Intl_VIBE'!R11</f>
        <v>0</v>
      </c>
      <c r="I10" s="1041">
        <f>-'Table 5C1D-NOMMA'!O11-'Table 5C1D-NOMMA'!R11</f>
        <v>0</v>
      </c>
      <c r="J10" s="1041">
        <f>-'Table 5C1E-LFNO'!Q11-'Table 5C1E-LFNO'!T11</f>
        <v>0</v>
      </c>
      <c r="K10" s="1041">
        <f>-'Table 5C1F-Lake Charles Charter'!O11-'Table 5C1F-Lake Charles Charter'!R11</f>
        <v>0</v>
      </c>
      <c r="L10" s="359">
        <f>-'Table 5C1G-JS Clark Academy'!O11-'Table 5C1G-JS Clark Academy'!R11</f>
        <v>0</v>
      </c>
      <c r="M10" s="359">
        <f>-'Table 5C1H-Southwest LA Charter'!O11-'Table 5C1H-Southwest LA Charter'!R11</f>
        <v>0</v>
      </c>
      <c r="N10" s="359">
        <f>-'Table 5C1I-LA Key Academy'!O11+'Table 5C1I-LA Key Academy'!R11</f>
        <v>0</v>
      </c>
      <c r="O10" s="359">
        <f>-'Table 5C1J-Jefferson Chamber'!O11+'Table 5C1J-Jefferson Chamber'!R11</f>
        <v>0</v>
      </c>
      <c r="P10" s="359">
        <f>-'Table 5C1K-Tallulah Charter'!O11+'Table 5C1K-Tallulah Charter'!R11</f>
        <v>0</v>
      </c>
      <c r="Q10" s="359">
        <f>-'Table 5C1L-Northshore Charter'!O11+'Table 5C1L-Northshore Charter'!R11</f>
        <v>0</v>
      </c>
      <c r="R10" s="359">
        <f>-'Table 5C1M-EBR Charter'!O11+'Table 5C1M-EBR Charter'!R11</f>
        <v>0</v>
      </c>
      <c r="S10" s="359">
        <f>-'Table 5C1N-Delta Charter'!O11+'Table 5C1N-Delta Charter'!R11</f>
        <v>0</v>
      </c>
      <c r="T10" s="359">
        <f>-'Table 5C2 - LA Virtual Admy'!P8-'Table 5C2 - LA Virtual Admy'!S8</f>
        <v>-34418.25</v>
      </c>
      <c r="U10" s="359">
        <f>-'Table 5C3 - LA Connections EBR'!P8-'Table 5C3 - LA Connections EBR'!S8</f>
        <v>-22062.600000000002</v>
      </c>
      <c r="V10" s="359">
        <f>-'Table 5E_OJJ'!P11-'Table 5E_OJJ'!Q11</f>
        <v>-3871.7126307376093</v>
      </c>
      <c r="W10" s="359">
        <f t="shared" si="17"/>
        <v>-60352.562630737615</v>
      </c>
      <c r="X10" s="737">
        <f t="shared" si="18"/>
        <v>31642520.437369261</v>
      </c>
      <c r="AA10" s="49"/>
      <c r="AD10"/>
      <c r="AM10"/>
    </row>
    <row r="11" spans="1:39">
      <c r="A11" s="99">
        <v>6</v>
      </c>
      <c r="B11" s="1038" t="s">
        <v>98</v>
      </c>
      <c r="C11" s="708">
        <f>'Table 2_State Distrib and Adjs'!X12</f>
        <v>35294248</v>
      </c>
      <c r="D11" s="1039"/>
      <c r="E11" s="1039"/>
      <c r="F11" s="1039">
        <f>-'Table 5C1A-Madison Prep'!O12-'Table 5C1A-Madison Prep'!R12</f>
        <v>0</v>
      </c>
      <c r="G11" s="1039">
        <f>-'Table 5C1B-DArbonne'!O12-'Table 5C1B-DArbonne'!R12</f>
        <v>0</v>
      </c>
      <c r="H11" s="1039">
        <f>-'Table 5C1C-Intl_VIBE'!O12-'Table 5C1C-Intl_VIBE'!R12</f>
        <v>0</v>
      </c>
      <c r="I11" s="1039">
        <f>-'Table 5C1D-NOMMA'!O12-'Table 5C1D-NOMMA'!R12</f>
        <v>0</v>
      </c>
      <c r="J11" s="1039">
        <f>-'Table 5C1E-LFNO'!Q12-'Table 5C1E-LFNO'!T12</f>
        <v>0</v>
      </c>
      <c r="K11" s="1039">
        <f>-'Table 5C1F-Lake Charles Charter'!O12-'Table 5C1F-Lake Charles Charter'!R12</f>
        <v>0</v>
      </c>
      <c r="L11" s="358">
        <f>-'Table 5C1G-JS Clark Academy'!O12-'Table 5C1G-JS Clark Academy'!R12</f>
        <v>0</v>
      </c>
      <c r="M11" s="358">
        <f>-'Table 5C1H-Southwest LA Charter'!O12-'Table 5C1H-Southwest LA Charter'!R12</f>
        <v>0</v>
      </c>
      <c r="N11" s="358">
        <f>-'Table 5C1I-LA Key Academy'!O12+'Table 5C1I-LA Key Academy'!R12</f>
        <v>0</v>
      </c>
      <c r="O11" s="358">
        <f>-'Table 5C1J-Jefferson Chamber'!O12+'Table 5C1J-Jefferson Chamber'!R12</f>
        <v>0</v>
      </c>
      <c r="P11" s="358">
        <f>-'Table 5C1K-Tallulah Charter'!O12+'Table 5C1K-Tallulah Charter'!R12</f>
        <v>0</v>
      </c>
      <c r="Q11" s="358">
        <f>-'Table 5C1L-Northshore Charter'!O12+'Table 5C1L-Northshore Charter'!R12</f>
        <v>0</v>
      </c>
      <c r="R11" s="358">
        <f>-'Table 5C1M-EBR Charter'!O12+'Table 5C1M-EBR Charter'!R12</f>
        <v>0</v>
      </c>
      <c r="S11" s="358">
        <f>-'Table 5C1N-Delta Charter'!O12+'Table 5C1N-Delta Charter'!R12</f>
        <v>0</v>
      </c>
      <c r="T11" s="358">
        <f>-'Table 5C2 - LA Virtual Admy'!P9-'Table 5C2 - LA Virtual Admy'!S9</f>
        <v>-57145.5</v>
      </c>
      <c r="U11" s="358">
        <f>-'Table 5C3 - LA Connections EBR'!P9-'Table 5C3 - LA Connections EBR'!S9</f>
        <v>-73953</v>
      </c>
      <c r="V11" s="358">
        <f>-'Table 5E_OJJ'!P12-'Table 5E_OJJ'!Q12</f>
        <v>-6829.5094365608275</v>
      </c>
      <c r="W11" s="358">
        <f t="shared" si="17"/>
        <v>-137928.00943656082</v>
      </c>
      <c r="X11" s="736">
        <f t="shared" si="18"/>
        <v>35156319.990563437</v>
      </c>
      <c r="AA11" s="49"/>
      <c r="AD11"/>
      <c r="AM11"/>
    </row>
    <row r="12" spans="1:39">
      <c r="A12" s="99">
        <v>7</v>
      </c>
      <c r="B12" s="1038" t="s">
        <v>99</v>
      </c>
      <c r="C12" s="708">
        <f>'Table 2_State Distrib and Adjs'!X13</f>
        <v>5527025</v>
      </c>
      <c r="D12" s="1039"/>
      <c r="E12" s="1039"/>
      <c r="F12" s="1039">
        <f>-'Table 5C1A-Madison Prep'!O13-'Table 5C1A-Madison Prep'!R13</f>
        <v>0</v>
      </c>
      <c r="G12" s="1039">
        <f>-'Table 5C1B-DArbonne'!O13-'Table 5C1B-DArbonne'!R13</f>
        <v>0</v>
      </c>
      <c r="H12" s="1039">
        <f>-'Table 5C1C-Intl_VIBE'!O13-'Table 5C1C-Intl_VIBE'!R13</f>
        <v>0</v>
      </c>
      <c r="I12" s="1039">
        <f>-'Table 5C1D-NOMMA'!O13-'Table 5C1D-NOMMA'!R13</f>
        <v>0</v>
      </c>
      <c r="J12" s="1039">
        <f>-'Table 5C1E-LFNO'!Q13-'Table 5C1E-LFNO'!T13</f>
        <v>0</v>
      </c>
      <c r="K12" s="1039">
        <f>-'Table 5C1F-Lake Charles Charter'!O13-'Table 5C1F-Lake Charles Charter'!R13</f>
        <v>0</v>
      </c>
      <c r="L12" s="358">
        <f>-'Table 5C1G-JS Clark Academy'!O13-'Table 5C1G-JS Clark Academy'!R13</f>
        <v>0</v>
      </c>
      <c r="M12" s="358">
        <f>-'Table 5C1H-Southwest LA Charter'!O13-'Table 5C1H-Southwest LA Charter'!R13</f>
        <v>0</v>
      </c>
      <c r="N12" s="358">
        <f>-'Table 5C1I-LA Key Academy'!O13+'Table 5C1I-LA Key Academy'!R13</f>
        <v>0</v>
      </c>
      <c r="O12" s="358">
        <f>-'Table 5C1J-Jefferson Chamber'!O13+'Table 5C1J-Jefferson Chamber'!R13</f>
        <v>0</v>
      </c>
      <c r="P12" s="358">
        <f>-'Table 5C1K-Tallulah Charter'!O13+'Table 5C1K-Tallulah Charter'!R13</f>
        <v>0</v>
      </c>
      <c r="Q12" s="358">
        <f>-'Table 5C1L-Northshore Charter'!O13+'Table 5C1L-Northshore Charter'!R13</f>
        <v>0</v>
      </c>
      <c r="R12" s="358">
        <f>-'Table 5C1M-EBR Charter'!O13+'Table 5C1M-EBR Charter'!R13</f>
        <v>0</v>
      </c>
      <c r="S12" s="358">
        <f>-'Table 5C1N-Delta Charter'!O13+'Table 5C1N-Delta Charter'!R13</f>
        <v>0</v>
      </c>
      <c r="T12" s="358">
        <f>-'Table 5C2 - LA Virtual Admy'!P10-'Table 5C2 - LA Virtual Admy'!S10</f>
        <v>-12414.150000000001</v>
      </c>
      <c r="U12" s="358">
        <f>-'Table 5C3 - LA Connections EBR'!P10-'Table 5C3 - LA Connections EBR'!S10</f>
        <v>-81568.800000000003</v>
      </c>
      <c r="V12" s="358">
        <f>-'Table 5E_OJJ'!P13-'Table 5E_OJJ'!Q13</f>
        <v>-1694.8901116310349</v>
      </c>
      <c r="W12" s="358">
        <f t="shared" si="17"/>
        <v>-95677.840111631042</v>
      </c>
      <c r="X12" s="736">
        <f t="shared" si="18"/>
        <v>5431347.159888369</v>
      </c>
      <c r="AA12" s="49"/>
      <c r="AD12"/>
      <c r="AM12"/>
    </row>
    <row r="13" spans="1:39">
      <c r="A13" s="99">
        <v>8</v>
      </c>
      <c r="B13" s="1038" t="s">
        <v>100</v>
      </c>
      <c r="C13" s="708">
        <f>'Table 2_State Distrib and Adjs'!X14</f>
        <v>105884572</v>
      </c>
      <c r="D13" s="1039"/>
      <c r="E13" s="1039"/>
      <c r="F13" s="1039">
        <f>-'Table 5C1A-Madison Prep'!O14-'Table 5C1A-Madison Prep'!R14</f>
        <v>0</v>
      </c>
      <c r="G13" s="1039">
        <f>-'Table 5C1B-DArbonne'!O14-'Table 5C1B-DArbonne'!R14</f>
        <v>0</v>
      </c>
      <c r="H13" s="1039">
        <f>-'Table 5C1C-Intl_VIBE'!O14-'Table 5C1C-Intl_VIBE'!R14</f>
        <v>0</v>
      </c>
      <c r="I13" s="1039">
        <f>-'Table 5C1D-NOMMA'!O14-'Table 5C1D-NOMMA'!R14</f>
        <v>0</v>
      </c>
      <c r="J13" s="1039">
        <f>-'Table 5C1E-LFNO'!Q14-'Table 5C1E-LFNO'!T14</f>
        <v>0</v>
      </c>
      <c r="K13" s="1039">
        <f>-'Table 5C1F-Lake Charles Charter'!O14-'Table 5C1F-Lake Charles Charter'!R14</f>
        <v>0</v>
      </c>
      <c r="L13" s="358">
        <f>-'Table 5C1G-JS Clark Academy'!O14-'Table 5C1G-JS Clark Academy'!R14</f>
        <v>0</v>
      </c>
      <c r="M13" s="358">
        <f>-'Table 5C1H-Southwest LA Charter'!O14-'Table 5C1H-Southwest LA Charter'!R14</f>
        <v>0</v>
      </c>
      <c r="N13" s="358">
        <f>-'Table 5C1I-LA Key Academy'!O14+'Table 5C1I-LA Key Academy'!R14</f>
        <v>0</v>
      </c>
      <c r="O13" s="358">
        <f>-'Table 5C1J-Jefferson Chamber'!O14+'Table 5C1J-Jefferson Chamber'!R14</f>
        <v>0</v>
      </c>
      <c r="P13" s="358">
        <f>-'Table 5C1K-Tallulah Charter'!O14+'Table 5C1K-Tallulah Charter'!R14</f>
        <v>0</v>
      </c>
      <c r="Q13" s="358">
        <f>-'Table 5C1L-Northshore Charter'!O14+'Table 5C1L-Northshore Charter'!R14</f>
        <v>0</v>
      </c>
      <c r="R13" s="358">
        <f>-'Table 5C1M-EBR Charter'!O14+'Table 5C1M-EBR Charter'!R14</f>
        <v>0</v>
      </c>
      <c r="S13" s="358">
        <f>-'Table 5C1N-Delta Charter'!O14+'Table 5C1N-Delta Charter'!R14</f>
        <v>0</v>
      </c>
      <c r="T13" s="358">
        <f>-'Table 5C2 - LA Virtual Admy'!P11-'Table 5C2 - LA Virtual Admy'!S11</f>
        <v>-123322.5</v>
      </c>
      <c r="U13" s="358">
        <f>-'Table 5C3 - LA Connections EBR'!P11-'Table 5C3 - LA Connections EBR'!S11</f>
        <v>-158557.5</v>
      </c>
      <c r="V13" s="358">
        <f>-'Table 5E_OJJ'!P14-'Table 5E_OJJ'!Q14</f>
        <v>-20331.001197003614</v>
      </c>
      <c r="W13" s="358">
        <f t="shared" si="17"/>
        <v>-302211.00119700364</v>
      </c>
      <c r="X13" s="736">
        <f t="shared" si="18"/>
        <v>105582360.99880299</v>
      </c>
      <c r="AA13" s="49"/>
      <c r="AD13"/>
      <c r="AM13"/>
    </row>
    <row r="14" spans="1:39">
      <c r="A14" s="99">
        <v>9</v>
      </c>
      <c r="B14" s="1038" t="s">
        <v>101</v>
      </c>
      <c r="C14" s="708">
        <f>'Table 2_State Distrib and Adjs'!X15</f>
        <v>205703030</v>
      </c>
      <c r="D14" s="1039">
        <f>-'Table 5B2_RSD_LA'!Q30-'Table 5B2_RSD_LA'!V30</f>
        <v>-2571471</v>
      </c>
      <c r="E14" s="1039"/>
      <c r="F14" s="1039">
        <f>-'Table 5C1A-Madison Prep'!O15-'Table 5C1A-Madison Prep'!R15</f>
        <v>0</v>
      </c>
      <c r="G14" s="1039">
        <f>-'Table 5C1B-DArbonne'!O15-'Table 5C1B-DArbonne'!R15</f>
        <v>0</v>
      </c>
      <c r="H14" s="1039">
        <f>-'Table 5C1C-Intl_VIBE'!O15-'Table 5C1C-Intl_VIBE'!R15</f>
        <v>0</v>
      </c>
      <c r="I14" s="1039">
        <f>-'Table 5C1D-NOMMA'!O15-'Table 5C1D-NOMMA'!R15</f>
        <v>0</v>
      </c>
      <c r="J14" s="1039">
        <f>-'Table 5C1E-LFNO'!Q15-'Table 5C1E-LFNO'!T15</f>
        <v>0</v>
      </c>
      <c r="K14" s="1039">
        <f>-'Table 5C1F-Lake Charles Charter'!O15-'Table 5C1F-Lake Charles Charter'!R15</f>
        <v>0</v>
      </c>
      <c r="L14" s="358">
        <f>-'Table 5C1G-JS Clark Academy'!O15-'Table 5C1G-JS Clark Academy'!R15</f>
        <v>0</v>
      </c>
      <c r="M14" s="358">
        <f>-'Table 5C1H-Southwest LA Charter'!O15-'Table 5C1H-Southwest LA Charter'!R15</f>
        <v>0</v>
      </c>
      <c r="N14" s="358">
        <f>-'Table 5C1I-LA Key Academy'!O15+'Table 5C1I-LA Key Academy'!R15</f>
        <v>0</v>
      </c>
      <c r="O14" s="358">
        <f>-'Table 5C1J-Jefferson Chamber'!O15+'Table 5C1J-Jefferson Chamber'!R15</f>
        <v>0</v>
      </c>
      <c r="P14" s="358">
        <f>-'Table 5C1K-Tallulah Charter'!O15+'Table 5C1K-Tallulah Charter'!R15</f>
        <v>0</v>
      </c>
      <c r="Q14" s="358">
        <f>-'Table 5C1L-Northshore Charter'!O15+'Table 5C1L-Northshore Charter'!R15</f>
        <v>0</v>
      </c>
      <c r="R14" s="358">
        <f>-'Table 5C1M-EBR Charter'!O15+'Table 5C1M-EBR Charter'!R15</f>
        <v>0</v>
      </c>
      <c r="S14" s="358">
        <f>-'Table 5C1N-Delta Charter'!O15+'Table 5C1N-Delta Charter'!R15</f>
        <v>0</v>
      </c>
      <c r="T14" s="358">
        <f>-'Table 5C2 - LA Virtual Admy'!P12-'Table 5C2 - LA Virtual Admy'!S12</f>
        <v>-366416.10000000003</v>
      </c>
      <c r="U14" s="358">
        <f>-'Table 5C3 - LA Connections EBR'!P12-'Table 5C3 - LA Connections EBR'!S12</f>
        <v>-270679.5</v>
      </c>
      <c r="V14" s="358">
        <f>-'Table 5E_OJJ'!P15-'Table 5E_OJJ'!Q15</f>
        <v>-99936.610906059665</v>
      </c>
      <c r="W14" s="358">
        <f t="shared" si="17"/>
        <v>-3308503.2109060599</v>
      </c>
      <c r="X14" s="736">
        <f t="shared" si="18"/>
        <v>202394526.78909394</v>
      </c>
      <c r="AA14" s="49"/>
      <c r="AD14"/>
      <c r="AM14"/>
    </row>
    <row r="15" spans="1:39">
      <c r="A15" s="100">
        <v>10</v>
      </c>
      <c r="B15" s="1040" t="s">
        <v>102</v>
      </c>
      <c r="C15" s="709">
        <f>'Table 2_State Distrib and Adjs'!X16</f>
        <v>149034813</v>
      </c>
      <c r="D15" s="1041"/>
      <c r="E15" s="1041"/>
      <c r="F15" s="1041">
        <f>-'Table 5C1A-Madison Prep'!O16-'Table 5C1A-Madison Prep'!R16</f>
        <v>0</v>
      </c>
      <c r="G15" s="1041">
        <f>-'Table 5C1B-DArbonne'!O16-'Table 5C1B-DArbonne'!R16</f>
        <v>0</v>
      </c>
      <c r="H15" s="1041">
        <f>-'Table 5C1C-Intl_VIBE'!O16-'Table 5C1C-Intl_VIBE'!R16</f>
        <v>0</v>
      </c>
      <c r="I15" s="1041">
        <f>-'Table 5C1D-NOMMA'!O16-'Table 5C1D-NOMMA'!R16</f>
        <v>0</v>
      </c>
      <c r="J15" s="1041">
        <f>-'Table 5C1E-LFNO'!Q16-'Table 5C1E-LFNO'!T16</f>
        <v>0</v>
      </c>
      <c r="K15" s="1041">
        <f>-'Table 5C1F-Lake Charles Charter'!O16-'Table 5C1F-Lake Charles Charter'!R16</f>
        <v>-3389195</v>
      </c>
      <c r="L15" s="359">
        <f>-'Table 5C1G-JS Clark Academy'!O16-'Table 5C1G-JS Clark Academy'!R16</f>
        <v>0</v>
      </c>
      <c r="M15" s="359">
        <f>-'Table 5C1H-Southwest LA Charter'!O16-'Table 5C1H-Southwest LA Charter'!R16</f>
        <v>-2347747</v>
      </c>
      <c r="N15" s="359">
        <f>-'Table 5C1I-LA Key Academy'!O16+'Table 5C1I-LA Key Academy'!R16</f>
        <v>0</v>
      </c>
      <c r="O15" s="359">
        <f>-'Table 5C1J-Jefferson Chamber'!O16+'Table 5C1J-Jefferson Chamber'!R16</f>
        <v>0</v>
      </c>
      <c r="P15" s="359">
        <f>-'Table 5C1K-Tallulah Charter'!O16+'Table 5C1K-Tallulah Charter'!R16</f>
        <v>0</v>
      </c>
      <c r="Q15" s="359">
        <f>-'Table 5C1L-Northshore Charter'!O16+'Table 5C1L-Northshore Charter'!R16</f>
        <v>0</v>
      </c>
      <c r="R15" s="359">
        <f>-'Table 5C1M-EBR Charter'!O16+'Table 5C1M-EBR Charter'!R16</f>
        <v>0</v>
      </c>
      <c r="S15" s="359">
        <f>-'Table 5C1N-Delta Charter'!O16+'Table 5C1N-Delta Charter'!R16</f>
        <v>0</v>
      </c>
      <c r="T15" s="359">
        <f>-'Table 5C2 - LA Virtual Admy'!P13-'Table 5C2 - LA Virtual Admy'!S13</f>
        <v>-219045.59999999998</v>
      </c>
      <c r="U15" s="359">
        <f>-'Table 5C3 - LA Connections EBR'!P13-'Table 5C3 - LA Connections EBR'!S13</f>
        <v>-214125.3</v>
      </c>
      <c r="V15" s="359">
        <f>-'Table 5E_OJJ'!P16-'Table 5E_OJJ'!Q16</f>
        <v>-43750.915065163135</v>
      </c>
      <c r="W15" s="359">
        <f t="shared" si="17"/>
        <v>-6213863.8150651623</v>
      </c>
      <c r="X15" s="737">
        <f t="shared" si="18"/>
        <v>142820949.18493482</v>
      </c>
      <c r="AA15" s="49"/>
      <c r="AD15"/>
      <c r="AM15"/>
    </row>
    <row r="16" spans="1:39">
      <c r="A16" s="99">
        <v>11</v>
      </c>
      <c r="B16" s="1038" t="s">
        <v>103</v>
      </c>
      <c r="C16" s="708">
        <f>'Table 2_State Distrib and Adjs'!X17</f>
        <v>11664253</v>
      </c>
      <c r="D16" s="1039"/>
      <c r="E16" s="1039"/>
      <c r="F16" s="1039">
        <f>-'Table 5C1A-Madison Prep'!O17-'Table 5C1A-Madison Prep'!R17</f>
        <v>0</v>
      </c>
      <c r="G16" s="1039">
        <f>-'Table 5C1B-DArbonne'!O17-'Table 5C1B-DArbonne'!R17</f>
        <v>0</v>
      </c>
      <c r="H16" s="1039">
        <f>-'Table 5C1C-Intl_VIBE'!O17-'Table 5C1C-Intl_VIBE'!R17</f>
        <v>0</v>
      </c>
      <c r="I16" s="1039">
        <f>-'Table 5C1D-NOMMA'!O17-'Table 5C1D-NOMMA'!R17</f>
        <v>0</v>
      </c>
      <c r="J16" s="1039">
        <f>-'Table 5C1E-LFNO'!Q17-'Table 5C1E-LFNO'!T17</f>
        <v>0</v>
      </c>
      <c r="K16" s="1039">
        <f>-'Table 5C1F-Lake Charles Charter'!O17-'Table 5C1F-Lake Charles Charter'!R17</f>
        <v>0</v>
      </c>
      <c r="L16" s="358">
        <f>-'Table 5C1G-JS Clark Academy'!O17-'Table 5C1G-JS Clark Academy'!R17</f>
        <v>0</v>
      </c>
      <c r="M16" s="358">
        <f>-'Table 5C1H-Southwest LA Charter'!O17-'Table 5C1H-Southwest LA Charter'!R17</f>
        <v>0</v>
      </c>
      <c r="N16" s="358">
        <f>-'Table 5C1I-LA Key Academy'!O17+'Table 5C1I-LA Key Academy'!R17</f>
        <v>0</v>
      </c>
      <c r="O16" s="358">
        <f>-'Table 5C1J-Jefferson Chamber'!O17+'Table 5C1J-Jefferson Chamber'!R17</f>
        <v>0</v>
      </c>
      <c r="P16" s="358">
        <f>-'Table 5C1K-Tallulah Charter'!O17+'Table 5C1K-Tallulah Charter'!R17</f>
        <v>0</v>
      </c>
      <c r="Q16" s="358">
        <f>-'Table 5C1L-Northshore Charter'!O17+'Table 5C1L-Northshore Charter'!R17</f>
        <v>0</v>
      </c>
      <c r="R16" s="358">
        <f>-'Table 5C1M-EBR Charter'!O17+'Table 5C1M-EBR Charter'!R17</f>
        <v>0</v>
      </c>
      <c r="S16" s="358">
        <f>-'Table 5C1N-Delta Charter'!O17+'Table 5C1N-Delta Charter'!R17</f>
        <v>0</v>
      </c>
      <c r="T16" s="358">
        <f>-'Table 5C2 - LA Virtual Admy'!P14-'Table 5C2 - LA Virtual Admy'!S14</f>
        <v>-24504.3</v>
      </c>
      <c r="U16" s="358">
        <f>-'Table 5C3 - LA Connections EBR'!P14-'Table 5C3 - LA Connections EBR'!S14</f>
        <v>-6577.2</v>
      </c>
      <c r="V16" s="358">
        <f>-'Table 5E_OJJ'!P17-'Table 5E_OJJ'!Q17</f>
        <v>0</v>
      </c>
      <c r="W16" s="358">
        <f t="shared" si="17"/>
        <v>-31081.5</v>
      </c>
      <c r="X16" s="736">
        <f t="shared" si="18"/>
        <v>11633171.5</v>
      </c>
      <c r="AA16" s="49"/>
      <c r="AD16"/>
      <c r="AM16"/>
    </row>
    <row r="17" spans="1:39">
      <c r="A17" s="99">
        <v>12</v>
      </c>
      <c r="B17" s="1038" t="s">
        <v>104</v>
      </c>
      <c r="C17" s="708">
        <f>'Table 2_State Distrib and Adjs'!X18</f>
        <v>3390225</v>
      </c>
      <c r="D17" s="1039"/>
      <c r="E17" s="1039"/>
      <c r="F17" s="1039">
        <f>-'Table 5C1A-Madison Prep'!O18-'Table 5C1A-Madison Prep'!R18</f>
        <v>0</v>
      </c>
      <c r="G17" s="1039">
        <f>-'Table 5C1B-DArbonne'!O18-'Table 5C1B-DArbonne'!R18</f>
        <v>0</v>
      </c>
      <c r="H17" s="1039">
        <f>-'Table 5C1C-Intl_VIBE'!O18-'Table 5C1C-Intl_VIBE'!R18</f>
        <v>0</v>
      </c>
      <c r="I17" s="1039">
        <f>-'Table 5C1D-NOMMA'!O18-'Table 5C1D-NOMMA'!R18</f>
        <v>0</v>
      </c>
      <c r="J17" s="1039">
        <f>-'Table 5C1E-LFNO'!Q18-'Table 5C1E-LFNO'!T18</f>
        <v>0</v>
      </c>
      <c r="K17" s="1039">
        <f>-'Table 5C1F-Lake Charles Charter'!O18-'Table 5C1F-Lake Charles Charter'!R18</f>
        <v>0</v>
      </c>
      <c r="L17" s="358">
        <f>-'Table 5C1G-JS Clark Academy'!O18-'Table 5C1G-JS Clark Academy'!R18</f>
        <v>0</v>
      </c>
      <c r="M17" s="358">
        <f>-'Table 5C1H-Southwest LA Charter'!O18-'Table 5C1H-Southwest LA Charter'!R18</f>
        <v>0</v>
      </c>
      <c r="N17" s="358">
        <f>-'Table 5C1I-LA Key Academy'!O18+'Table 5C1I-LA Key Academy'!R18</f>
        <v>0</v>
      </c>
      <c r="O17" s="358">
        <f>-'Table 5C1J-Jefferson Chamber'!O18+'Table 5C1J-Jefferson Chamber'!R18</f>
        <v>0</v>
      </c>
      <c r="P17" s="358">
        <f>-'Table 5C1K-Tallulah Charter'!O18+'Table 5C1K-Tallulah Charter'!R18</f>
        <v>0</v>
      </c>
      <c r="Q17" s="358">
        <f>-'Table 5C1L-Northshore Charter'!O18+'Table 5C1L-Northshore Charter'!R18</f>
        <v>0</v>
      </c>
      <c r="R17" s="358">
        <f>-'Table 5C1M-EBR Charter'!O18+'Table 5C1M-EBR Charter'!R18</f>
        <v>0</v>
      </c>
      <c r="S17" s="358">
        <f>-'Table 5C1N-Delta Charter'!O18+'Table 5C1N-Delta Charter'!R18</f>
        <v>0</v>
      </c>
      <c r="T17" s="358">
        <f>-'Table 5C2 - LA Virtual Admy'!P15-'Table 5C2 - LA Virtual Admy'!S15</f>
        <v>0</v>
      </c>
      <c r="U17" s="358">
        <f>-'Table 5C3 - LA Connections EBR'!P15-'Table 5C3 - LA Connections EBR'!S15</f>
        <v>-12390.300000000001</v>
      </c>
      <c r="V17" s="358">
        <f>-'Table 5E_OJJ'!P18-'Table 5E_OJJ'!Q18</f>
        <v>0</v>
      </c>
      <c r="W17" s="358">
        <f t="shared" si="17"/>
        <v>-12390.300000000001</v>
      </c>
      <c r="X17" s="736">
        <f t="shared" si="18"/>
        <v>3377834.7</v>
      </c>
      <c r="AA17" s="49"/>
      <c r="AD17"/>
      <c r="AM17"/>
    </row>
    <row r="18" spans="1:39">
      <c r="A18" s="99">
        <v>13</v>
      </c>
      <c r="B18" s="1038" t="s">
        <v>105</v>
      </c>
      <c r="C18" s="708">
        <f>'Table 2_State Distrib and Adjs'!X19</f>
        <v>10527624</v>
      </c>
      <c r="D18" s="1039"/>
      <c r="E18" s="1039"/>
      <c r="F18" s="1039">
        <f>-'Table 5C1A-Madison Prep'!O19-'Table 5C1A-Madison Prep'!R19</f>
        <v>0</v>
      </c>
      <c r="G18" s="1039">
        <f>-'Table 5C1B-DArbonne'!O19-'Table 5C1B-DArbonne'!R19</f>
        <v>0</v>
      </c>
      <c r="H18" s="1039">
        <f>-'Table 5C1C-Intl_VIBE'!O19-'Table 5C1C-Intl_VIBE'!R19</f>
        <v>0</v>
      </c>
      <c r="I18" s="1039">
        <f>-'Table 5C1D-NOMMA'!O19-'Table 5C1D-NOMMA'!R19</f>
        <v>0</v>
      </c>
      <c r="J18" s="1039">
        <f>-'Table 5C1E-LFNO'!Q19-'Table 5C1E-LFNO'!T19</f>
        <v>0</v>
      </c>
      <c r="K18" s="1039">
        <f>-'Table 5C1F-Lake Charles Charter'!O19-'Table 5C1F-Lake Charles Charter'!R19</f>
        <v>0</v>
      </c>
      <c r="L18" s="358">
        <f>-'Table 5C1G-JS Clark Academy'!O19-'Table 5C1G-JS Clark Academy'!R19</f>
        <v>0</v>
      </c>
      <c r="M18" s="358">
        <f>-'Table 5C1H-Southwest LA Charter'!O19-'Table 5C1H-Southwest LA Charter'!R19</f>
        <v>0</v>
      </c>
      <c r="N18" s="358">
        <f>-'Table 5C1I-LA Key Academy'!O19+'Table 5C1I-LA Key Academy'!R19</f>
        <v>0</v>
      </c>
      <c r="O18" s="358">
        <f>-'Table 5C1J-Jefferson Chamber'!O19+'Table 5C1J-Jefferson Chamber'!R19</f>
        <v>0</v>
      </c>
      <c r="P18" s="358">
        <f>-'Table 5C1K-Tallulah Charter'!O19+'Table 5C1K-Tallulah Charter'!R19</f>
        <v>0</v>
      </c>
      <c r="Q18" s="358">
        <f>-'Table 5C1L-Northshore Charter'!O19+'Table 5C1L-Northshore Charter'!R19</f>
        <v>0</v>
      </c>
      <c r="R18" s="358">
        <f>-'Table 5C1M-EBR Charter'!O19+'Table 5C1M-EBR Charter'!R19</f>
        <v>0</v>
      </c>
      <c r="S18" s="358">
        <f>-'Table 5C1N-Delta Charter'!O19+'Table 5C1N-Delta Charter'!R19</f>
        <v>-108575</v>
      </c>
      <c r="T18" s="358">
        <f>-'Table 5C2 - LA Virtual Admy'!P16-'Table 5C2 - LA Virtual Admy'!S16</f>
        <v>-7560.8999999999978</v>
      </c>
      <c r="U18" s="358">
        <f>-'Table 5C3 - LA Connections EBR'!P16-'Table 5C3 - LA Connections EBR'!S16</f>
        <v>-6817.5</v>
      </c>
      <c r="V18" s="358">
        <f>-'Table 5E_OJJ'!P19-'Table 5E_OJJ'!Q19</f>
        <v>0</v>
      </c>
      <c r="W18" s="358">
        <f t="shared" si="17"/>
        <v>-122953.4</v>
      </c>
      <c r="X18" s="736">
        <f t="shared" si="18"/>
        <v>10404670.6</v>
      </c>
      <c r="AA18" s="49"/>
      <c r="AD18"/>
      <c r="AM18"/>
    </row>
    <row r="19" spans="1:39">
      <c r="A19" s="99">
        <v>14</v>
      </c>
      <c r="B19" s="1038" t="s">
        <v>106</v>
      </c>
      <c r="C19" s="708">
        <f>'Table 2_State Distrib and Adjs'!X20</f>
        <v>11482755</v>
      </c>
      <c r="D19" s="1039"/>
      <c r="E19" s="1039"/>
      <c r="F19" s="1039">
        <f>-'Table 5C1A-Madison Prep'!O20-'Table 5C1A-Madison Prep'!R20</f>
        <v>0</v>
      </c>
      <c r="G19" s="1039">
        <f>-'Table 5C1B-DArbonne'!O20-'Table 5C1B-DArbonne'!R20</f>
        <v>-7976</v>
      </c>
      <c r="H19" s="1039">
        <f>-'Table 5C1C-Intl_VIBE'!O20-'Table 5C1C-Intl_VIBE'!R20</f>
        <v>0</v>
      </c>
      <c r="I19" s="1039">
        <f>-'Table 5C1D-NOMMA'!O20-'Table 5C1D-NOMMA'!R20</f>
        <v>0</v>
      </c>
      <c r="J19" s="1039">
        <f>-'Table 5C1E-LFNO'!Q20-'Table 5C1E-LFNO'!T20</f>
        <v>0</v>
      </c>
      <c r="K19" s="1039">
        <f>-'Table 5C1F-Lake Charles Charter'!O20-'Table 5C1F-Lake Charles Charter'!R20</f>
        <v>0</v>
      </c>
      <c r="L19" s="358">
        <f>-'Table 5C1G-JS Clark Academy'!O20-'Table 5C1G-JS Clark Academy'!R20</f>
        <v>0</v>
      </c>
      <c r="M19" s="358">
        <f>-'Table 5C1H-Southwest LA Charter'!O20-'Table 5C1H-Southwest LA Charter'!R20</f>
        <v>0</v>
      </c>
      <c r="N19" s="358">
        <f>-'Table 5C1I-LA Key Academy'!O20+'Table 5C1I-LA Key Academy'!R20</f>
        <v>0</v>
      </c>
      <c r="O19" s="358">
        <f>-'Table 5C1J-Jefferson Chamber'!O20+'Table 5C1J-Jefferson Chamber'!R20</f>
        <v>0</v>
      </c>
      <c r="P19" s="358">
        <f>-'Table 5C1K-Tallulah Charter'!O20+'Table 5C1K-Tallulah Charter'!R20</f>
        <v>0</v>
      </c>
      <c r="Q19" s="358">
        <f>-'Table 5C1L-Northshore Charter'!O20+'Table 5C1L-Northshore Charter'!R20</f>
        <v>0</v>
      </c>
      <c r="R19" s="358">
        <f>-'Table 5C1M-EBR Charter'!O20+'Table 5C1M-EBR Charter'!R20</f>
        <v>0</v>
      </c>
      <c r="S19" s="358">
        <f>-'Table 5C1N-Delta Charter'!O20+'Table 5C1N-Delta Charter'!R20</f>
        <v>0</v>
      </c>
      <c r="T19" s="358">
        <f>-'Table 5C2 - LA Virtual Admy'!P17-'Table 5C2 - LA Virtual Admy'!S17</f>
        <v>-2080.8000000000002</v>
      </c>
      <c r="U19" s="358">
        <f>-'Table 5C3 - LA Connections EBR'!P17-'Table 5C3 - LA Connections EBR'!S17</f>
        <v>-39481.200000000004</v>
      </c>
      <c r="V19" s="358">
        <f>-'Table 5E_OJJ'!P20-'Table 5E_OJJ'!Q20</f>
        <v>-3415.1592714304343</v>
      </c>
      <c r="W19" s="358">
        <f t="shared" si="17"/>
        <v>-52953.159271430435</v>
      </c>
      <c r="X19" s="736">
        <f t="shared" si="18"/>
        <v>11429801.84072857</v>
      </c>
      <c r="AA19" s="49"/>
      <c r="AD19"/>
      <c r="AM19"/>
    </row>
    <row r="20" spans="1:39">
      <c r="A20" s="100">
        <v>15</v>
      </c>
      <c r="B20" s="1040" t="s">
        <v>107</v>
      </c>
      <c r="C20" s="709">
        <f>'Table 2_State Distrib and Adjs'!X21</f>
        <v>22021266</v>
      </c>
      <c r="D20" s="1041"/>
      <c r="E20" s="1041"/>
      <c r="F20" s="1041">
        <f>-'Table 5C1A-Madison Prep'!O21-'Table 5C1A-Madison Prep'!R21</f>
        <v>0</v>
      </c>
      <c r="G20" s="1041">
        <f>-'Table 5C1B-DArbonne'!O21-'Table 5C1B-DArbonne'!R21</f>
        <v>0</v>
      </c>
      <c r="H20" s="1041">
        <f>-'Table 5C1C-Intl_VIBE'!O21-'Table 5C1C-Intl_VIBE'!R21</f>
        <v>0</v>
      </c>
      <c r="I20" s="1041">
        <f>-'Table 5C1D-NOMMA'!O21-'Table 5C1D-NOMMA'!R21</f>
        <v>0</v>
      </c>
      <c r="J20" s="1041">
        <f>-'Table 5C1E-LFNO'!Q21-'Table 5C1E-LFNO'!T21</f>
        <v>0</v>
      </c>
      <c r="K20" s="1041">
        <f>-'Table 5C1F-Lake Charles Charter'!O21-'Table 5C1F-Lake Charles Charter'!R21</f>
        <v>0</v>
      </c>
      <c r="L20" s="359">
        <f>-'Table 5C1G-JS Clark Academy'!O21-'Table 5C1G-JS Clark Academy'!R21</f>
        <v>0</v>
      </c>
      <c r="M20" s="359">
        <f>-'Table 5C1H-Southwest LA Charter'!O21-'Table 5C1H-Southwest LA Charter'!R21</f>
        <v>0</v>
      </c>
      <c r="N20" s="359">
        <f>-'Table 5C1I-LA Key Academy'!O21+'Table 5C1I-LA Key Academy'!R21</f>
        <v>0</v>
      </c>
      <c r="O20" s="359">
        <f>-'Table 5C1J-Jefferson Chamber'!O21+'Table 5C1J-Jefferson Chamber'!R21</f>
        <v>0</v>
      </c>
      <c r="P20" s="359">
        <f>-'Table 5C1K-Tallulah Charter'!O21+'Table 5C1K-Tallulah Charter'!R21</f>
        <v>0</v>
      </c>
      <c r="Q20" s="359">
        <f>-'Table 5C1L-Northshore Charter'!O21+'Table 5C1L-Northshore Charter'!R21</f>
        <v>0</v>
      </c>
      <c r="R20" s="359">
        <f>-'Table 5C1M-EBR Charter'!O21+'Table 5C1M-EBR Charter'!R21</f>
        <v>0</v>
      </c>
      <c r="S20" s="359">
        <f>-'Table 5C1N-Delta Charter'!O21+'Table 5C1N-Delta Charter'!R21</f>
        <v>-730128</v>
      </c>
      <c r="T20" s="359">
        <f>-'Table 5C2 - LA Virtual Admy'!P18-'Table 5C2 - LA Virtual Admy'!S18</f>
        <v>-6863.4</v>
      </c>
      <c r="U20" s="359">
        <f>-'Table 5C3 - LA Connections EBR'!P18-'Table 5C3 - LA Connections EBR'!S18</f>
        <v>-6868.7999999999993</v>
      </c>
      <c r="V20" s="359">
        <f>-'Table 5E_OJJ'!P21-'Table 5E_OJJ'!Q21</f>
        <v>-1832.9521310202854</v>
      </c>
      <c r="W20" s="359">
        <f t="shared" si="17"/>
        <v>-745693.15213102032</v>
      </c>
      <c r="X20" s="737">
        <f t="shared" si="18"/>
        <v>21275572.847868979</v>
      </c>
      <c r="AA20" s="49"/>
      <c r="AD20"/>
      <c r="AM20"/>
    </row>
    <row r="21" spans="1:39">
      <c r="A21" s="99">
        <v>16</v>
      </c>
      <c r="B21" s="1038" t="s">
        <v>108</v>
      </c>
      <c r="C21" s="708">
        <f>'Table 2_State Distrib and Adjs'!X22</f>
        <v>10949112</v>
      </c>
      <c r="D21" s="1039"/>
      <c r="E21" s="1039"/>
      <c r="F21" s="1039">
        <f>-'Table 5C1A-Madison Prep'!O22-'Table 5C1A-Madison Prep'!R22</f>
        <v>0</v>
      </c>
      <c r="G21" s="1039">
        <f>-'Table 5C1B-DArbonne'!O22-'Table 5C1B-DArbonne'!R22</f>
        <v>0</v>
      </c>
      <c r="H21" s="1039">
        <f>-'Table 5C1C-Intl_VIBE'!O22-'Table 5C1C-Intl_VIBE'!R22</f>
        <v>0</v>
      </c>
      <c r="I21" s="1039">
        <f>-'Table 5C1D-NOMMA'!O22-'Table 5C1D-NOMMA'!R22</f>
        <v>0</v>
      </c>
      <c r="J21" s="1039">
        <f>-'Table 5C1E-LFNO'!Q22-'Table 5C1E-LFNO'!T22</f>
        <v>0</v>
      </c>
      <c r="K21" s="1039">
        <f>-'Table 5C1F-Lake Charles Charter'!O22-'Table 5C1F-Lake Charles Charter'!R22</f>
        <v>0</v>
      </c>
      <c r="L21" s="358">
        <f>-'Table 5C1G-JS Clark Academy'!O22-'Table 5C1G-JS Clark Academy'!R22</f>
        <v>0</v>
      </c>
      <c r="M21" s="358">
        <f>-'Table 5C1H-Southwest LA Charter'!O22-'Table 5C1H-Southwest LA Charter'!R22</f>
        <v>0</v>
      </c>
      <c r="N21" s="358">
        <f>-'Table 5C1I-LA Key Academy'!O22+'Table 5C1I-LA Key Academy'!R22</f>
        <v>0</v>
      </c>
      <c r="O21" s="358">
        <f>-'Table 5C1J-Jefferson Chamber'!O22+'Table 5C1J-Jefferson Chamber'!R22</f>
        <v>0</v>
      </c>
      <c r="P21" s="358">
        <f>-'Table 5C1K-Tallulah Charter'!O22+'Table 5C1K-Tallulah Charter'!R22</f>
        <v>0</v>
      </c>
      <c r="Q21" s="358">
        <f>-'Table 5C1L-Northshore Charter'!O22+'Table 5C1L-Northshore Charter'!R22</f>
        <v>0</v>
      </c>
      <c r="R21" s="358">
        <f>-'Table 5C1M-EBR Charter'!O22+'Table 5C1M-EBR Charter'!R22</f>
        <v>0</v>
      </c>
      <c r="S21" s="358">
        <f>-'Table 5C1N-Delta Charter'!O22+'Table 5C1N-Delta Charter'!R22</f>
        <v>0</v>
      </c>
      <c r="T21" s="358">
        <f>-'Table 5C2 - LA Virtual Admy'!P19-'Table 5C2 - LA Virtual Admy'!S19</f>
        <v>-120106.80000000002</v>
      </c>
      <c r="U21" s="358">
        <f>-'Table 5C3 - LA Connections EBR'!P19-'Table 5C3 - LA Connections EBR'!S19</f>
        <v>-65512.800000000003</v>
      </c>
      <c r="V21" s="358">
        <f>-'Table 5E_OJJ'!P22-'Table 5E_OJJ'!Q22</f>
        <v>-7884.2008113630727</v>
      </c>
      <c r="W21" s="358">
        <f t="shared" si="17"/>
        <v>-193503.80081136309</v>
      </c>
      <c r="X21" s="736">
        <f t="shared" si="18"/>
        <v>10755608.199188635</v>
      </c>
      <c r="AA21" s="49"/>
      <c r="AD21"/>
      <c r="AM21"/>
    </row>
    <row r="22" spans="1:39">
      <c r="A22" s="99">
        <v>17</v>
      </c>
      <c r="B22" s="1038" t="s">
        <v>109</v>
      </c>
      <c r="C22" s="708">
        <f>'Table 2_State Distrib and Adjs'!X23</f>
        <v>166132664</v>
      </c>
      <c r="D22" s="1039">
        <f>-'Table 5B2_RSD_LA'!Q18-'Table 5B2_RSD_LA'!V18</f>
        <v>-13097846</v>
      </c>
      <c r="E22" s="1039"/>
      <c r="F22" s="1039">
        <f>-'Table 5C1A-Madison Prep'!O23-'Table 5C1A-Madison Prep'!R23</f>
        <v>-1393384</v>
      </c>
      <c r="G22" s="1039">
        <f>-'Table 5C1B-DArbonne'!O23-'Table 5C1B-DArbonne'!R23</f>
        <v>0</v>
      </c>
      <c r="H22" s="1039">
        <f>-'Table 5C1C-Intl_VIBE'!O23-'Table 5C1C-Intl_VIBE'!R23</f>
        <v>0</v>
      </c>
      <c r="I22" s="1039">
        <f>-'Table 5C1D-NOMMA'!O23-'Table 5C1D-NOMMA'!R23</f>
        <v>0</v>
      </c>
      <c r="J22" s="1039">
        <f>-'Table 5C1E-LFNO'!Q23-'Table 5C1E-LFNO'!T23</f>
        <v>0</v>
      </c>
      <c r="K22" s="1039">
        <f>-'Table 5C1F-Lake Charles Charter'!O23-'Table 5C1F-Lake Charles Charter'!R23</f>
        <v>0</v>
      </c>
      <c r="L22" s="358">
        <f>-'Table 5C1G-JS Clark Academy'!O23-'Table 5C1G-JS Clark Academy'!R23</f>
        <v>0</v>
      </c>
      <c r="M22" s="358">
        <f>-'Table 5C1H-Southwest LA Charter'!O23-'Table 5C1H-Southwest LA Charter'!R23</f>
        <v>0</v>
      </c>
      <c r="N22" s="358">
        <f>-'Table 5C1I-LA Key Academy'!O23+'Table 5C1I-LA Key Academy'!R23</f>
        <v>-744040</v>
      </c>
      <c r="O22" s="358">
        <f>-'Table 5C1J-Jefferson Chamber'!O23+'Table 5C1J-Jefferson Chamber'!R23</f>
        <v>0</v>
      </c>
      <c r="P22" s="358">
        <f>-'Table 5C1K-Tallulah Charter'!O23+'Table 5C1K-Tallulah Charter'!R23</f>
        <v>0</v>
      </c>
      <c r="Q22" s="358">
        <f>-'Table 5C1L-Northshore Charter'!O23+'Table 5C1L-Northshore Charter'!R23</f>
        <v>0</v>
      </c>
      <c r="R22" s="358">
        <f>-'Table 5C1M-EBR Charter'!O23+'Table 5C1M-EBR Charter'!R23</f>
        <v>-4112512</v>
      </c>
      <c r="S22" s="358">
        <f>-'Table 5C1N-Delta Charter'!O23+'Table 5C1N-Delta Charter'!R23</f>
        <v>0</v>
      </c>
      <c r="T22" s="358">
        <f>-'Table 5C2 - LA Virtual Admy'!P20-'Table 5C2 - LA Virtual Admy'!S20</f>
        <v>-439719.30000000005</v>
      </c>
      <c r="U22" s="358">
        <f>-'Table 5C3 - LA Connections EBR'!P20-'Table 5C3 - LA Connections EBR'!S20</f>
        <v>-456716.7</v>
      </c>
      <c r="V22" s="358">
        <f>-'Table 5E_OJJ'!P23-'Table 5E_OJJ'!Q23</f>
        <v>-146480.81356141207</v>
      </c>
      <c r="W22" s="358">
        <f t="shared" si="17"/>
        <v>-20390698.813561413</v>
      </c>
      <c r="X22" s="736">
        <f t="shared" si="18"/>
        <v>145741965.18643859</v>
      </c>
      <c r="AA22" s="49"/>
      <c r="AD22"/>
      <c r="AM22"/>
    </row>
    <row r="23" spans="1:39">
      <c r="A23" s="99">
        <v>18</v>
      </c>
      <c r="B23" s="1038" t="s">
        <v>110</v>
      </c>
      <c r="C23" s="708">
        <f>'Table 2_State Distrib and Adjs'!X24</f>
        <v>7625610</v>
      </c>
      <c r="D23" s="1039"/>
      <c r="E23" s="1039"/>
      <c r="F23" s="1039">
        <f>-'Table 5C1A-Madison Prep'!O24-'Table 5C1A-Madison Prep'!R24</f>
        <v>0</v>
      </c>
      <c r="G23" s="1039">
        <f>-'Table 5C1B-DArbonne'!O24-'Table 5C1B-DArbonne'!R24</f>
        <v>0</v>
      </c>
      <c r="H23" s="1039">
        <f>-'Table 5C1C-Intl_VIBE'!O24-'Table 5C1C-Intl_VIBE'!R24</f>
        <v>0</v>
      </c>
      <c r="I23" s="1039">
        <f>-'Table 5C1D-NOMMA'!O24-'Table 5C1D-NOMMA'!R24</f>
        <v>0</v>
      </c>
      <c r="J23" s="1039">
        <f>-'Table 5C1E-LFNO'!Q24-'Table 5C1E-LFNO'!T24</f>
        <v>0</v>
      </c>
      <c r="K23" s="1039">
        <f>-'Table 5C1F-Lake Charles Charter'!O24-'Table 5C1F-Lake Charles Charter'!R24</f>
        <v>0</v>
      </c>
      <c r="L23" s="358">
        <f>-'Table 5C1G-JS Clark Academy'!O24-'Table 5C1G-JS Clark Academy'!R24</f>
        <v>0</v>
      </c>
      <c r="M23" s="358">
        <f>-'Table 5C1H-Southwest LA Charter'!O24-'Table 5C1H-Southwest LA Charter'!R24</f>
        <v>0</v>
      </c>
      <c r="N23" s="358">
        <f>-'Table 5C1I-LA Key Academy'!O24+'Table 5C1I-LA Key Academy'!R24</f>
        <v>0</v>
      </c>
      <c r="O23" s="358">
        <f>-'Table 5C1J-Jefferson Chamber'!O24+'Table 5C1J-Jefferson Chamber'!R24</f>
        <v>0</v>
      </c>
      <c r="P23" s="358">
        <f>-'Table 5C1K-Tallulah Charter'!O24+'Table 5C1K-Tallulah Charter'!R24</f>
        <v>0</v>
      </c>
      <c r="Q23" s="358">
        <f>-'Table 5C1L-Northshore Charter'!O24+'Table 5C1L-Northshore Charter'!R24</f>
        <v>0</v>
      </c>
      <c r="R23" s="358">
        <f>-'Table 5C1M-EBR Charter'!O24+'Table 5C1M-EBR Charter'!R24</f>
        <v>0</v>
      </c>
      <c r="S23" s="358">
        <f>-'Table 5C1N-Delta Charter'!O24+'Table 5C1N-Delta Charter'!R24</f>
        <v>0</v>
      </c>
      <c r="T23" s="358">
        <f>-'Table 5C2 - LA Virtual Admy'!P21-'Table 5C2 - LA Virtual Admy'!S21</f>
        <v>-2632.5</v>
      </c>
      <c r="U23" s="358">
        <f>-'Table 5C3 - LA Connections EBR'!P21-'Table 5C3 - LA Connections EBR'!S21</f>
        <v>0</v>
      </c>
      <c r="V23" s="358">
        <f>-'Table 5E_OJJ'!P24-'Table 5E_OJJ'!Q24</f>
        <v>-112.42689593829242</v>
      </c>
      <c r="W23" s="358">
        <f t="shared" si="17"/>
        <v>-2744.9268959382925</v>
      </c>
      <c r="X23" s="736">
        <f t="shared" si="18"/>
        <v>7622865.0731040621</v>
      </c>
      <c r="AA23" s="49"/>
      <c r="AD23"/>
      <c r="AM23"/>
    </row>
    <row r="24" spans="1:39">
      <c r="A24" s="99">
        <v>19</v>
      </c>
      <c r="B24" s="302" t="s">
        <v>111</v>
      </c>
      <c r="C24" s="311">
        <f>'Table 2_State Distrib and Adjs'!X25</f>
        <v>11852436</v>
      </c>
      <c r="D24" s="358"/>
      <c r="E24" s="358"/>
      <c r="F24" s="358">
        <f>-'Table 5C1A-Madison Prep'!O25-'Table 5C1A-Madison Prep'!R25</f>
        <v>0</v>
      </c>
      <c r="G24" s="358">
        <f>-'Table 5C1B-DArbonne'!O25-'Table 5C1B-DArbonne'!R25</f>
        <v>0</v>
      </c>
      <c r="H24" s="358">
        <f>-'Table 5C1C-Intl_VIBE'!O25-'Table 5C1C-Intl_VIBE'!R25</f>
        <v>0</v>
      </c>
      <c r="I24" s="358">
        <f>-'Table 5C1D-NOMMA'!O25-'Table 5C1D-NOMMA'!R25</f>
        <v>0</v>
      </c>
      <c r="J24" s="358">
        <f>-'Table 5C1E-LFNO'!Q25-'Table 5C1E-LFNO'!T25</f>
        <v>0</v>
      </c>
      <c r="K24" s="358">
        <f>-'Table 5C1F-Lake Charles Charter'!O25-'Table 5C1F-Lake Charles Charter'!R25</f>
        <v>0</v>
      </c>
      <c r="L24" s="358">
        <f>-'Table 5C1G-JS Clark Academy'!O25-'Table 5C1G-JS Clark Academy'!R25</f>
        <v>0</v>
      </c>
      <c r="M24" s="358">
        <f>-'Table 5C1H-Southwest LA Charter'!O25-'Table 5C1H-Southwest LA Charter'!R25</f>
        <v>0</v>
      </c>
      <c r="N24" s="358">
        <f>-'Table 5C1I-LA Key Academy'!O25+'Table 5C1I-LA Key Academy'!R25</f>
        <v>0</v>
      </c>
      <c r="O24" s="358">
        <f>-'Table 5C1J-Jefferson Chamber'!O25+'Table 5C1J-Jefferson Chamber'!R25</f>
        <v>0</v>
      </c>
      <c r="P24" s="358">
        <f>-'Table 5C1K-Tallulah Charter'!O25+'Table 5C1K-Tallulah Charter'!R25</f>
        <v>0</v>
      </c>
      <c r="Q24" s="358">
        <f>-'Table 5C1L-Northshore Charter'!O25+'Table 5C1L-Northshore Charter'!R25</f>
        <v>0</v>
      </c>
      <c r="R24" s="358">
        <f>-'Table 5C1M-EBR Charter'!O25+'Table 5C1M-EBR Charter'!R25</f>
        <v>0</v>
      </c>
      <c r="S24" s="358">
        <f>-'Table 5C1N-Delta Charter'!O25+'Table 5C1N-Delta Charter'!R25</f>
        <v>0</v>
      </c>
      <c r="T24" s="358">
        <f>-'Table 5C2 - LA Virtual Admy'!P22-'Table 5C2 - LA Virtual Admy'!S22</f>
        <v>-12576.15</v>
      </c>
      <c r="U24" s="358">
        <f>-'Table 5C3 - LA Connections EBR'!P22-'Table 5C3 - LA Connections EBR'!S22</f>
        <v>-13878</v>
      </c>
      <c r="V24" s="358">
        <f>-'Table 5E_OJJ'!P25-'Table 5E_OJJ'!Q25</f>
        <v>-1659.7371024642171</v>
      </c>
      <c r="W24" s="358">
        <f t="shared" si="17"/>
        <v>-28113.887102464218</v>
      </c>
      <c r="X24" s="736">
        <f t="shared" si="18"/>
        <v>11824322.112897536</v>
      </c>
      <c r="AA24" s="49"/>
      <c r="AD24"/>
      <c r="AM24"/>
    </row>
    <row r="25" spans="1:39">
      <c r="A25" s="100">
        <v>20</v>
      </c>
      <c r="B25" s="303" t="s">
        <v>112</v>
      </c>
      <c r="C25" s="319">
        <f>'Table 2_State Distrib and Adjs'!X26</f>
        <v>35335500</v>
      </c>
      <c r="D25" s="359"/>
      <c r="E25" s="359"/>
      <c r="F25" s="359">
        <f>-'Table 5C1A-Madison Prep'!O26-'Table 5C1A-Madison Prep'!R26</f>
        <v>0</v>
      </c>
      <c r="G25" s="359">
        <f>-'Table 5C1B-DArbonne'!O26-'Table 5C1B-DArbonne'!R26</f>
        <v>0</v>
      </c>
      <c r="H25" s="359">
        <f>-'Table 5C1C-Intl_VIBE'!O26-'Table 5C1C-Intl_VIBE'!R26</f>
        <v>0</v>
      </c>
      <c r="I25" s="359">
        <f>-'Table 5C1D-NOMMA'!O26-'Table 5C1D-NOMMA'!R26</f>
        <v>0</v>
      </c>
      <c r="J25" s="359">
        <f>-'Table 5C1E-LFNO'!Q26-'Table 5C1E-LFNO'!T26</f>
        <v>0</v>
      </c>
      <c r="K25" s="359">
        <f>-'Table 5C1F-Lake Charles Charter'!O26-'Table 5C1F-Lake Charles Charter'!R26</f>
        <v>0</v>
      </c>
      <c r="L25" s="359">
        <f>-'Table 5C1G-JS Clark Academy'!O26-'Table 5C1G-JS Clark Academy'!R26</f>
        <v>0</v>
      </c>
      <c r="M25" s="359">
        <f>-'Table 5C1H-Southwest LA Charter'!O26-'Table 5C1H-Southwest LA Charter'!R26</f>
        <v>0</v>
      </c>
      <c r="N25" s="359">
        <f>-'Table 5C1I-LA Key Academy'!O26+'Table 5C1I-LA Key Academy'!R26</f>
        <v>0</v>
      </c>
      <c r="O25" s="359">
        <f>-'Table 5C1J-Jefferson Chamber'!O26+'Table 5C1J-Jefferson Chamber'!R26</f>
        <v>0</v>
      </c>
      <c r="P25" s="359">
        <f>-'Table 5C1K-Tallulah Charter'!O26+'Table 5C1K-Tallulah Charter'!R26</f>
        <v>0</v>
      </c>
      <c r="Q25" s="359">
        <f>-'Table 5C1L-Northshore Charter'!O26+'Table 5C1L-Northshore Charter'!R26</f>
        <v>0</v>
      </c>
      <c r="R25" s="359">
        <f>-'Table 5C1M-EBR Charter'!O26+'Table 5C1M-EBR Charter'!R26</f>
        <v>0</v>
      </c>
      <c r="S25" s="359">
        <f>-'Table 5C1N-Delta Charter'!O26+'Table 5C1N-Delta Charter'!R26</f>
        <v>0</v>
      </c>
      <c r="T25" s="359">
        <f>-'Table 5C2 - LA Virtual Admy'!P23-'Table 5C2 - LA Virtual Admy'!S23</f>
        <v>-14039.1</v>
      </c>
      <c r="U25" s="359">
        <f>-'Table 5C3 - LA Connections EBR'!P23-'Table 5C3 - LA Connections EBR'!S23</f>
        <v>-8712</v>
      </c>
      <c r="V25" s="359">
        <f>-'Table 5E_OJJ'!P26-'Table 5E_OJJ'!Q26</f>
        <v>-18269.354771206628</v>
      </c>
      <c r="W25" s="359">
        <f t="shared" si="17"/>
        <v>-41020.454771206627</v>
      </c>
      <c r="X25" s="737">
        <f t="shared" si="18"/>
        <v>35294479.545228794</v>
      </c>
      <c r="AA25" s="49"/>
      <c r="AD25"/>
      <c r="AM25"/>
    </row>
    <row r="26" spans="1:39">
      <c r="A26" s="99">
        <v>21</v>
      </c>
      <c r="B26" s="302" t="s">
        <v>113</v>
      </c>
      <c r="C26" s="311">
        <f>'Table 2_State Distrib and Adjs'!X27</f>
        <v>18713267</v>
      </c>
      <c r="D26" s="358"/>
      <c r="E26" s="358"/>
      <c r="F26" s="358">
        <f>-'Table 5C1A-Madison Prep'!O27-'Table 5C1A-Madison Prep'!R27</f>
        <v>0</v>
      </c>
      <c r="G26" s="358">
        <f>-'Table 5C1B-DArbonne'!O27-'Table 5C1B-DArbonne'!R27</f>
        <v>0</v>
      </c>
      <c r="H26" s="358">
        <f>-'Table 5C1C-Intl_VIBE'!O27-'Table 5C1C-Intl_VIBE'!R27</f>
        <v>0</v>
      </c>
      <c r="I26" s="358">
        <f>-'Table 5C1D-NOMMA'!O27-'Table 5C1D-NOMMA'!R27</f>
        <v>0</v>
      </c>
      <c r="J26" s="358">
        <f>-'Table 5C1E-LFNO'!Q27-'Table 5C1E-LFNO'!T27</f>
        <v>0</v>
      </c>
      <c r="K26" s="358">
        <f>-'Table 5C1F-Lake Charles Charter'!O27-'Table 5C1F-Lake Charles Charter'!R27</f>
        <v>0</v>
      </c>
      <c r="L26" s="358">
        <f>-'Table 5C1G-JS Clark Academy'!O27-'Table 5C1G-JS Clark Academy'!R27</f>
        <v>0</v>
      </c>
      <c r="M26" s="358">
        <f>-'Table 5C1H-Southwest LA Charter'!O27-'Table 5C1H-Southwest LA Charter'!R27</f>
        <v>0</v>
      </c>
      <c r="N26" s="358">
        <f>-'Table 5C1I-LA Key Academy'!O27+'Table 5C1I-LA Key Academy'!R27</f>
        <v>0</v>
      </c>
      <c r="O26" s="358">
        <f>-'Table 5C1J-Jefferson Chamber'!O27+'Table 5C1J-Jefferson Chamber'!R27</f>
        <v>0</v>
      </c>
      <c r="P26" s="358">
        <f>-'Table 5C1K-Tallulah Charter'!O27+'Table 5C1K-Tallulah Charter'!R27</f>
        <v>0</v>
      </c>
      <c r="Q26" s="358">
        <f>-'Table 5C1L-Northshore Charter'!O27+'Table 5C1L-Northshore Charter'!R27</f>
        <v>0</v>
      </c>
      <c r="R26" s="358">
        <f>-'Table 5C1M-EBR Charter'!O27+'Table 5C1M-EBR Charter'!R27</f>
        <v>0</v>
      </c>
      <c r="S26" s="358">
        <f>-'Table 5C1N-Delta Charter'!O27+'Table 5C1N-Delta Charter'!R27</f>
        <v>0</v>
      </c>
      <c r="T26" s="358">
        <f>-'Table 5C2 - LA Virtual Admy'!P24-'Table 5C2 - LA Virtual Admy'!S24</f>
        <v>-8904.6</v>
      </c>
      <c r="U26" s="358">
        <f>-'Table 5C3 - LA Connections EBR'!P24-'Table 5C3 - LA Connections EBR'!S24</f>
        <v>-20385</v>
      </c>
      <c r="V26" s="358">
        <f>-'Table 5E_OJJ'!P27-'Table 5E_OJJ'!Q27</f>
        <v>-6185.1934852595004</v>
      </c>
      <c r="W26" s="358">
        <f t="shared" si="17"/>
        <v>-35474.793485259499</v>
      </c>
      <c r="X26" s="736">
        <f t="shared" si="18"/>
        <v>18677792.206514739</v>
      </c>
      <c r="AA26" s="49"/>
      <c r="AD26"/>
      <c r="AM26"/>
    </row>
    <row r="27" spans="1:39">
      <c r="A27" s="99">
        <v>22</v>
      </c>
      <c r="B27" s="302" t="s">
        <v>114</v>
      </c>
      <c r="C27" s="311">
        <f>'Table 2_State Distrib and Adjs'!X28</f>
        <v>21458990</v>
      </c>
      <c r="D27" s="358"/>
      <c r="E27" s="358"/>
      <c r="F27" s="358">
        <f>-'Table 5C1A-Madison Prep'!O28-'Table 5C1A-Madison Prep'!R28</f>
        <v>0</v>
      </c>
      <c r="G27" s="358">
        <f>-'Table 5C1B-DArbonne'!O28-'Table 5C1B-DArbonne'!R28</f>
        <v>0</v>
      </c>
      <c r="H27" s="358">
        <f>-'Table 5C1C-Intl_VIBE'!O28-'Table 5C1C-Intl_VIBE'!R28</f>
        <v>0</v>
      </c>
      <c r="I27" s="358">
        <f>-'Table 5C1D-NOMMA'!O28-'Table 5C1D-NOMMA'!R28</f>
        <v>0</v>
      </c>
      <c r="J27" s="358">
        <f>-'Table 5C1E-LFNO'!Q28-'Table 5C1E-LFNO'!T28</f>
        <v>0</v>
      </c>
      <c r="K27" s="358">
        <f>-'Table 5C1F-Lake Charles Charter'!O28-'Table 5C1F-Lake Charles Charter'!R28</f>
        <v>0</v>
      </c>
      <c r="L27" s="358">
        <f>-'Table 5C1G-JS Clark Academy'!O28-'Table 5C1G-JS Clark Academy'!R28</f>
        <v>0</v>
      </c>
      <c r="M27" s="358">
        <f>-'Table 5C1H-Southwest LA Charter'!O28-'Table 5C1H-Southwest LA Charter'!R28</f>
        <v>0</v>
      </c>
      <c r="N27" s="358">
        <f>-'Table 5C1I-LA Key Academy'!O28+'Table 5C1I-LA Key Academy'!R28</f>
        <v>0</v>
      </c>
      <c r="O27" s="358">
        <f>-'Table 5C1J-Jefferson Chamber'!O28+'Table 5C1J-Jefferson Chamber'!R28</f>
        <v>0</v>
      </c>
      <c r="P27" s="358">
        <f>-'Table 5C1K-Tallulah Charter'!O28+'Table 5C1K-Tallulah Charter'!R28</f>
        <v>0</v>
      </c>
      <c r="Q27" s="358">
        <f>-'Table 5C1L-Northshore Charter'!O28+'Table 5C1L-Northshore Charter'!R28</f>
        <v>0</v>
      </c>
      <c r="R27" s="358">
        <f>-'Table 5C1M-EBR Charter'!O28+'Table 5C1M-EBR Charter'!R28</f>
        <v>0</v>
      </c>
      <c r="S27" s="358">
        <f>-'Table 5C1N-Delta Charter'!O28+'Table 5C1N-Delta Charter'!R28</f>
        <v>0</v>
      </c>
      <c r="T27" s="358">
        <f>-'Table 5C2 - LA Virtual Admy'!P25-'Table 5C2 - LA Virtual Admy'!S25</f>
        <v>-2588.4</v>
      </c>
      <c r="U27" s="358">
        <f>-'Table 5C3 - LA Connections EBR'!P25-'Table 5C3 - LA Connections EBR'!S25</f>
        <v>-6471</v>
      </c>
      <c r="V27" s="358">
        <f>-'Table 5E_OJJ'!P28-'Table 5E_OJJ'!Q28</f>
        <v>-710.0282702682498</v>
      </c>
      <c r="W27" s="358">
        <f t="shared" si="17"/>
        <v>-9769.4282702682503</v>
      </c>
      <c r="X27" s="736">
        <f t="shared" si="18"/>
        <v>21449220.571729735</v>
      </c>
      <c r="AA27" s="49"/>
      <c r="AD27"/>
      <c r="AM27"/>
    </row>
    <row r="28" spans="1:39">
      <c r="A28" s="99">
        <v>23</v>
      </c>
      <c r="B28" s="302" t="s">
        <v>115</v>
      </c>
      <c r="C28" s="311">
        <f>'Table 2_State Distrib and Adjs'!X29</f>
        <v>74184619</v>
      </c>
      <c r="D28" s="358"/>
      <c r="E28" s="358"/>
      <c r="F28" s="358">
        <f>-'Table 5C1A-Madison Prep'!O29-'Table 5C1A-Madison Prep'!R29</f>
        <v>0</v>
      </c>
      <c r="G28" s="358">
        <f>-'Table 5C1B-DArbonne'!O29-'Table 5C1B-DArbonne'!R29</f>
        <v>0</v>
      </c>
      <c r="H28" s="358">
        <f>-'Table 5C1C-Intl_VIBE'!O29-'Table 5C1C-Intl_VIBE'!R29</f>
        <v>0</v>
      </c>
      <c r="I28" s="358">
        <f>-'Table 5C1D-NOMMA'!O29-'Table 5C1D-NOMMA'!R29</f>
        <v>0</v>
      </c>
      <c r="J28" s="358">
        <f>-'Table 5C1E-LFNO'!Q29-'Table 5C1E-LFNO'!T29</f>
        <v>0</v>
      </c>
      <c r="K28" s="358">
        <f>-'Table 5C1F-Lake Charles Charter'!O29-'Table 5C1F-Lake Charles Charter'!R29</f>
        <v>0</v>
      </c>
      <c r="L28" s="358">
        <f>-'Table 5C1G-JS Clark Academy'!O29-'Table 5C1G-JS Clark Academy'!R29</f>
        <v>0</v>
      </c>
      <c r="M28" s="358">
        <f>-'Table 5C1H-Southwest LA Charter'!O29-'Table 5C1H-Southwest LA Charter'!R29</f>
        <v>0</v>
      </c>
      <c r="N28" s="358">
        <f>-'Table 5C1I-LA Key Academy'!O29+'Table 5C1I-LA Key Academy'!R29</f>
        <v>0</v>
      </c>
      <c r="O28" s="358">
        <f>-'Table 5C1J-Jefferson Chamber'!O29+'Table 5C1J-Jefferson Chamber'!R29</f>
        <v>0</v>
      </c>
      <c r="P28" s="358">
        <f>-'Table 5C1K-Tallulah Charter'!O29+'Table 5C1K-Tallulah Charter'!R29</f>
        <v>0</v>
      </c>
      <c r="Q28" s="358">
        <f>-'Table 5C1L-Northshore Charter'!O29+'Table 5C1L-Northshore Charter'!R29</f>
        <v>0</v>
      </c>
      <c r="R28" s="358">
        <f>-'Table 5C1M-EBR Charter'!O29+'Table 5C1M-EBR Charter'!R29</f>
        <v>0</v>
      </c>
      <c r="S28" s="358">
        <f>-'Table 5C1N-Delta Charter'!O29+'Table 5C1N-Delta Charter'!R29</f>
        <v>0</v>
      </c>
      <c r="T28" s="358">
        <f>-'Table 5C2 - LA Virtual Admy'!P26-'Table 5C2 - LA Virtual Admy'!S26</f>
        <v>-39330.9</v>
      </c>
      <c r="U28" s="358">
        <f>-'Table 5C3 - LA Connections EBR'!P26-'Table 5C3 - LA Connections EBR'!S26</f>
        <v>-54853.200000000004</v>
      </c>
      <c r="V28" s="358">
        <f>-'Table 5E_OJJ'!P29-'Table 5E_OJJ'!Q29</f>
        <v>-16660.256461441037</v>
      </c>
      <c r="W28" s="358">
        <f t="shared" si="17"/>
        <v>-110844.35646144104</v>
      </c>
      <c r="X28" s="736">
        <f t="shared" si="18"/>
        <v>74073774.64353855</v>
      </c>
      <c r="AA28" s="49"/>
      <c r="AD28"/>
      <c r="AM28"/>
    </row>
    <row r="29" spans="1:39">
      <c r="A29" s="99">
        <v>24</v>
      </c>
      <c r="B29" s="302" t="s">
        <v>116</v>
      </c>
      <c r="C29" s="311">
        <f>'Table 2_State Distrib and Adjs'!X30</f>
        <v>16286291</v>
      </c>
      <c r="D29" s="358"/>
      <c r="E29" s="358"/>
      <c r="F29" s="358">
        <f>-'Table 5C1A-Madison Prep'!O30-'Table 5C1A-Madison Prep'!R30</f>
        <v>0</v>
      </c>
      <c r="G29" s="358">
        <f>-'Table 5C1B-DArbonne'!O30-'Table 5C1B-DArbonne'!R30</f>
        <v>0</v>
      </c>
      <c r="H29" s="358">
        <f>-'Table 5C1C-Intl_VIBE'!O30-'Table 5C1C-Intl_VIBE'!R30</f>
        <v>0</v>
      </c>
      <c r="I29" s="358">
        <f>-'Table 5C1D-NOMMA'!O30-'Table 5C1D-NOMMA'!R30</f>
        <v>0</v>
      </c>
      <c r="J29" s="358">
        <f>-'Table 5C1E-LFNO'!Q30-'Table 5C1E-LFNO'!T30</f>
        <v>0</v>
      </c>
      <c r="K29" s="358">
        <f>-'Table 5C1F-Lake Charles Charter'!O30-'Table 5C1F-Lake Charles Charter'!R30</f>
        <v>0</v>
      </c>
      <c r="L29" s="358">
        <f>-'Table 5C1G-JS Clark Academy'!O30-'Table 5C1G-JS Clark Academy'!R30</f>
        <v>0</v>
      </c>
      <c r="M29" s="358">
        <f>-'Table 5C1H-Southwest LA Charter'!O30-'Table 5C1H-Southwest LA Charter'!R30</f>
        <v>0</v>
      </c>
      <c r="N29" s="358">
        <f>-'Table 5C1I-LA Key Academy'!O30+'Table 5C1I-LA Key Academy'!R30</f>
        <v>0</v>
      </c>
      <c r="O29" s="358">
        <f>-'Table 5C1J-Jefferson Chamber'!O30+'Table 5C1J-Jefferson Chamber'!R30</f>
        <v>0</v>
      </c>
      <c r="P29" s="358">
        <f>-'Table 5C1K-Tallulah Charter'!O30+'Table 5C1K-Tallulah Charter'!R30</f>
        <v>0</v>
      </c>
      <c r="Q29" s="358">
        <f>-'Table 5C1L-Northshore Charter'!O30+'Table 5C1L-Northshore Charter'!R30</f>
        <v>0</v>
      </c>
      <c r="R29" s="358">
        <f>-'Table 5C1M-EBR Charter'!O30+'Table 5C1M-EBR Charter'!R30</f>
        <v>0</v>
      </c>
      <c r="S29" s="358">
        <f>-'Table 5C1N-Delta Charter'!O30+'Table 5C1N-Delta Charter'!R30</f>
        <v>0</v>
      </c>
      <c r="T29" s="358">
        <f>-'Table 5C2 - LA Virtual Admy'!P27-'Table 5C2 - LA Virtual Admy'!S27</f>
        <v>-75258.899999999994</v>
      </c>
      <c r="U29" s="358">
        <f>-'Table 5C3 - LA Connections EBR'!P27-'Table 5C3 - LA Connections EBR'!S27</f>
        <v>-8784.9</v>
      </c>
      <c r="V29" s="358">
        <f>-'Table 5E_OJJ'!P30-'Table 5E_OJJ'!Q30</f>
        <v>-5954.7555069195814</v>
      </c>
      <c r="W29" s="358">
        <f t="shared" si="17"/>
        <v>-89998.555506919569</v>
      </c>
      <c r="X29" s="736">
        <f t="shared" si="18"/>
        <v>16196292.44449308</v>
      </c>
      <c r="AA29" s="49"/>
      <c r="AD29"/>
      <c r="AM29"/>
    </row>
    <row r="30" spans="1:39">
      <c r="A30" s="100">
        <v>25</v>
      </c>
      <c r="B30" s="303" t="s">
        <v>117</v>
      </c>
      <c r="C30" s="319">
        <f>'Table 2_State Distrib and Adjs'!X31</f>
        <v>10027973</v>
      </c>
      <c r="D30" s="359"/>
      <c r="E30" s="359"/>
      <c r="F30" s="359">
        <f>-'Table 5C1A-Madison Prep'!O31-'Table 5C1A-Madison Prep'!R31</f>
        <v>0</v>
      </c>
      <c r="G30" s="359">
        <f>-'Table 5C1B-DArbonne'!O31-'Table 5C1B-DArbonne'!R31</f>
        <v>0</v>
      </c>
      <c r="H30" s="359">
        <f>-'Table 5C1C-Intl_VIBE'!O31-'Table 5C1C-Intl_VIBE'!R31</f>
        <v>0</v>
      </c>
      <c r="I30" s="359">
        <f>-'Table 5C1D-NOMMA'!O31-'Table 5C1D-NOMMA'!R31</f>
        <v>0</v>
      </c>
      <c r="J30" s="359">
        <f>-'Table 5C1E-LFNO'!Q31-'Table 5C1E-LFNO'!T31</f>
        <v>0</v>
      </c>
      <c r="K30" s="359">
        <f>-'Table 5C1F-Lake Charles Charter'!O31-'Table 5C1F-Lake Charles Charter'!R31</f>
        <v>0</v>
      </c>
      <c r="L30" s="359">
        <f>-'Table 5C1G-JS Clark Academy'!O31-'Table 5C1G-JS Clark Academy'!R31</f>
        <v>0</v>
      </c>
      <c r="M30" s="359">
        <f>-'Table 5C1H-Southwest LA Charter'!O31-'Table 5C1H-Southwest LA Charter'!R31</f>
        <v>0</v>
      </c>
      <c r="N30" s="359">
        <f>-'Table 5C1I-LA Key Academy'!O31+'Table 5C1I-LA Key Academy'!R31</f>
        <v>0</v>
      </c>
      <c r="O30" s="359">
        <f>-'Table 5C1J-Jefferson Chamber'!O31+'Table 5C1J-Jefferson Chamber'!R31</f>
        <v>0</v>
      </c>
      <c r="P30" s="359">
        <f>-'Table 5C1K-Tallulah Charter'!O31+'Table 5C1K-Tallulah Charter'!R31</f>
        <v>0</v>
      </c>
      <c r="Q30" s="359">
        <f>-'Table 5C1L-Northshore Charter'!O31+'Table 5C1L-Northshore Charter'!R31</f>
        <v>0</v>
      </c>
      <c r="R30" s="359">
        <f>-'Table 5C1M-EBR Charter'!O31+'Table 5C1M-EBR Charter'!R31</f>
        <v>0</v>
      </c>
      <c r="S30" s="359">
        <f>-'Table 5C1N-Delta Charter'!O31+'Table 5C1N-Delta Charter'!R31</f>
        <v>0</v>
      </c>
      <c r="T30" s="359">
        <f>-'Table 5C2 - LA Virtual Admy'!P28-'Table 5C2 - LA Virtual Admy'!S28</f>
        <v>-15165.45</v>
      </c>
      <c r="U30" s="359">
        <f>-'Table 5C3 - LA Connections EBR'!P28-'Table 5C3 - LA Connections EBR'!S28</f>
        <v>-4357.8</v>
      </c>
      <c r="V30" s="359">
        <f>-'Table 5E_OJJ'!P31-'Table 5E_OJJ'!Q31</f>
        <v>-4050.7941016836967</v>
      </c>
      <c r="W30" s="359">
        <f t="shared" si="17"/>
        <v>-23574.044101683696</v>
      </c>
      <c r="X30" s="737">
        <f t="shared" si="18"/>
        <v>10004398.955898317</v>
      </c>
      <c r="AA30" s="49"/>
      <c r="AD30"/>
      <c r="AM30"/>
    </row>
    <row r="31" spans="1:39">
      <c r="A31" s="99">
        <v>26</v>
      </c>
      <c r="B31" s="302" t="s">
        <v>118</v>
      </c>
      <c r="C31" s="311">
        <f>'Table 2_State Distrib and Adjs'!X32</f>
        <v>179471547</v>
      </c>
      <c r="D31" s="358"/>
      <c r="E31" s="358"/>
      <c r="F31" s="358">
        <f>-'Table 5C1A-Madison Prep'!O32-'Table 5C1A-Madison Prep'!R32</f>
        <v>0</v>
      </c>
      <c r="G31" s="358">
        <f>-'Table 5C1B-DArbonne'!O32-'Table 5C1B-DArbonne'!R32</f>
        <v>0</v>
      </c>
      <c r="H31" s="358">
        <f>-'Table 5C1C-Intl_VIBE'!O32-'Table 5C1C-Intl_VIBE'!R32</f>
        <v>-243846</v>
      </c>
      <c r="I31" s="358">
        <f>-'Table 5C1D-NOMMA'!O32-'Table 5C1D-NOMMA'!R32</f>
        <v>-587758</v>
      </c>
      <c r="J31" s="358">
        <f>-'Table 5C1E-LFNO'!Q32-'Table 5C1E-LFNO'!T32</f>
        <v>-259749</v>
      </c>
      <c r="K31" s="358">
        <f>-'Table 5C1F-Lake Charles Charter'!O32-'Table 5C1F-Lake Charles Charter'!R32</f>
        <v>0</v>
      </c>
      <c r="L31" s="358">
        <f>-'Table 5C1G-JS Clark Academy'!O32-'Table 5C1G-JS Clark Academy'!R32</f>
        <v>0</v>
      </c>
      <c r="M31" s="358">
        <f>-'Table 5C1H-Southwest LA Charter'!O32-'Table 5C1H-Southwest LA Charter'!R32</f>
        <v>0</v>
      </c>
      <c r="N31" s="358">
        <f>-'Table 5C1I-LA Key Academy'!O32+'Table 5C1I-LA Key Academy'!R32</f>
        <v>0</v>
      </c>
      <c r="O31" s="358">
        <f>-'Table 5C1J-Jefferson Chamber'!O32+'Table 5C1J-Jefferson Chamber'!R32</f>
        <v>-477090</v>
      </c>
      <c r="P31" s="358">
        <f>-'Table 5C1K-Tallulah Charter'!O32+'Table 5C1K-Tallulah Charter'!R32</f>
        <v>0</v>
      </c>
      <c r="Q31" s="358">
        <f>-'Table 5C1L-Northshore Charter'!O32+'Table 5C1L-Northshore Charter'!R32</f>
        <v>0</v>
      </c>
      <c r="R31" s="358">
        <f>-'Table 5C1M-EBR Charter'!O32+'Table 5C1M-EBR Charter'!R32</f>
        <v>0</v>
      </c>
      <c r="S31" s="358">
        <f>-'Table 5C1N-Delta Charter'!O32+'Table 5C1N-Delta Charter'!R32</f>
        <v>0</v>
      </c>
      <c r="T31" s="358">
        <f>-'Table 5C2 - LA Virtual Admy'!P29-'Table 5C2 - LA Virtual Admy'!S29</f>
        <v>-486399.60000000003</v>
      </c>
      <c r="U31" s="358">
        <f>-'Table 5C3 - LA Connections EBR'!P29-'Table 5C3 - LA Connections EBR'!S29</f>
        <v>-467548.20000000007</v>
      </c>
      <c r="V31" s="358">
        <f>-'Table 5E_OJJ'!P32-'Table 5E_OJJ'!Q32</f>
        <v>-108704.73458413192</v>
      </c>
      <c r="W31" s="358">
        <f t="shared" si="17"/>
        <v>-2631095.534584132</v>
      </c>
      <c r="X31" s="736">
        <f t="shared" si="18"/>
        <v>176840451.46541589</v>
      </c>
      <c r="AA31" s="49"/>
      <c r="AD31"/>
      <c r="AM31"/>
    </row>
    <row r="32" spans="1:39">
      <c r="A32" s="99">
        <v>27</v>
      </c>
      <c r="B32" s="302" t="s">
        <v>119</v>
      </c>
      <c r="C32" s="311">
        <f>'Table 2_State Distrib and Adjs'!X33</f>
        <v>35667968</v>
      </c>
      <c r="D32" s="358"/>
      <c r="E32" s="358"/>
      <c r="F32" s="358">
        <f>-'Table 5C1A-Madison Prep'!O33-'Table 5C1A-Madison Prep'!R33</f>
        <v>0</v>
      </c>
      <c r="G32" s="358">
        <f>-'Table 5C1B-DArbonne'!O33-'Table 5C1B-DArbonne'!R33</f>
        <v>0</v>
      </c>
      <c r="H32" s="358">
        <f>-'Table 5C1C-Intl_VIBE'!O33-'Table 5C1C-Intl_VIBE'!R33</f>
        <v>0</v>
      </c>
      <c r="I32" s="358">
        <f>-'Table 5C1D-NOMMA'!O33-'Table 5C1D-NOMMA'!R33</f>
        <v>0</v>
      </c>
      <c r="J32" s="358">
        <f>-'Table 5C1E-LFNO'!Q33-'Table 5C1E-LFNO'!T33</f>
        <v>0</v>
      </c>
      <c r="K32" s="358">
        <f>-'Table 5C1F-Lake Charles Charter'!O33-'Table 5C1F-Lake Charles Charter'!R33</f>
        <v>0</v>
      </c>
      <c r="L32" s="358">
        <f>-'Table 5C1G-JS Clark Academy'!O33-'Table 5C1G-JS Clark Academy'!R33</f>
        <v>0</v>
      </c>
      <c r="M32" s="358">
        <f>-'Table 5C1H-Southwest LA Charter'!O33-'Table 5C1H-Southwest LA Charter'!R33</f>
        <v>-26016</v>
      </c>
      <c r="N32" s="358">
        <f>-'Table 5C1I-LA Key Academy'!O33+'Table 5C1I-LA Key Academy'!R33</f>
        <v>0</v>
      </c>
      <c r="O32" s="358">
        <f>-'Table 5C1J-Jefferson Chamber'!O33+'Table 5C1J-Jefferson Chamber'!R33</f>
        <v>0</v>
      </c>
      <c r="P32" s="358">
        <f>-'Table 5C1K-Tallulah Charter'!O33+'Table 5C1K-Tallulah Charter'!R33</f>
        <v>0</v>
      </c>
      <c r="Q32" s="358">
        <f>-'Table 5C1L-Northshore Charter'!O33+'Table 5C1L-Northshore Charter'!R33</f>
        <v>0</v>
      </c>
      <c r="R32" s="358">
        <f>-'Table 5C1M-EBR Charter'!O33+'Table 5C1M-EBR Charter'!R33</f>
        <v>0</v>
      </c>
      <c r="S32" s="358">
        <f>-'Table 5C1N-Delta Charter'!O33+'Table 5C1N-Delta Charter'!R33</f>
        <v>0</v>
      </c>
      <c r="T32" s="358">
        <f>-'Table 5C2 - LA Virtual Admy'!P30-'Table 5C2 - LA Virtual Admy'!S30</f>
        <v>-15424.650000000001</v>
      </c>
      <c r="U32" s="358">
        <f>-'Table 5C3 - LA Connections EBR'!P30-'Table 5C3 - LA Connections EBR'!S30</f>
        <v>-20487.600000000002</v>
      </c>
      <c r="V32" s="358">
        <f>-'Table 5E_OJJ'!P33-'Table 5E_OJJ'!Q33</f>
        <v>-7069.4348731371183</v>
      </c>
      <c r="W32" s="358">
        <f t="shared" si="17"/>
        <v>-68997.684873137114</v>
      </c>
      <c r="X32" s="736">
        <f t="shared" si="18"/>
        <v>35598970.315126866</v>
      </c>
      <c r="AA32" s="49"/>
      <c r="AD32"/>
      <c r="AM32"/>
    </row>
    <row r="33" spans="1:39">
      <c r="A33" s="99">
        <v>28</v>
      </c>
      <c r="B33" s="302" t="s">
        <v>120</v>
      </c>
      <c r="C33" s="311">
        <f>'Table 2_State Distrib and Adjs'!X34</f>
        <v>115516320</v>
      </c>
      <c r="D33" s="358"/>
      <c r="E33" s="358"/>
      <c r="F33" s="358">
        <f>-'Table 5C1A-Madison Prep'!O34-'Table 5C1A-Madison Prep'!R34</f>
        <v>0</v>
      </c>
      <c r="G33" s="358">
        <f>-'Table 5C1B-DArbonne'!O34-'Table 5C1B-DArbonne'!R34</f>
        <v>0</v>
      </c>
      <c r="H33" s="358">
        <f>-'Table 5C1C-Intl_VIBE'!O34-'Table 5C1C-Intl_VIBE'!R34</f>
        <v>0</v>
      </c>
      <c r="I33" s="358">
        <f>-'Table 5C1D-NOMMA'!O34-'Table 5C1D-NOMMA'!R34</f>
        <v>0</v>
      </c>
      <c r="J33" s="358">
        <f>-'Table 5C1E-LFNO'!Q34-'Table 5C1E-LFNO'!T34</f>
        <v>0</v>
      </c>
      <c r="K33" s="358">
        <f>-'Table 5C1F-Lake Charles Charter'!O34-'Table 5C1F-Lake Charles Charter'!R34</f>
        <v>0</v>
      </c>
      <c r="L33" s="358">
        <f>-'Table 5C1G-JS Clark Academy'!O34-'Table 5C1G-JS Clark Academy'!R34</f>
        <v>-5361</v>
      </c>
      <c r="M33" s="358">
        <f>-'Table 5C1H-Southwest LA Charter'!O34-'Table 5C1H-Southwest LA Charter'!R34</f>
        <v>0</v>
      </c>
      <c r="N33" s="358">
        <f>-'Table 5C1I-LA Key Academy'!O34+'Table 5C1I-LA Key Academy'!R34</f>
        <v>0</v>
      </c>
      <c r="O33" s="358">
        <f>-'Table 5C1J-Jefferson Chamber'!O34+'Table 5C1J-Jefferson Chamber'!R34</f>
        <v>0</v>
      </c>
      <c r="P33" s="358">
        <f>-'Table 5C1K-Tallulah Charter'!O34+'Table 5C1K-Tallulah Charter'!R34</f>
        <v>0</v>
      </c>
      <c r="Q33" s="358">
        <f>-'Table 5C1L-Northshore Charter'!O34+'Table 5C1L-Northshore Charter'!R34</f>
        <v>0</v>
      </c>
      <c r="R33" s="358">
        <f>-'Table 5C1M-EBR Charter'!O34+'Table 5C1M-EBR Charter'!R34</f>
        <v>0</v>
      </c>
      <c r="S33" s="358">
        <f>-'Table 5C1N-Delta Charter'!O34+'Table 5C1N-Delta Charter'!R34</f>
        <v>0</v>
      </c>
      <c r="T33" s="358">
        <f>-'Table 5C2 - LA Virtual Admy'!P31-'Table 5C2 - LA Virtual Admy'!S31</f>
        <v>-190436.40000000002</v>
      </c>
      <c r="U33" s="358">
        <f>-'Table 5C3 - LA Connections EBR'!P31-'Table 5C3 - LA Connections EBR'!S31</f>
        <v>-221945.40000000002</v>
      </c>
      <c r="V33" s="358">
        <f>-'Table 5E_OJJ'!P34-'Table 5E_OJJ'!Q34</f>
        <v>-30520.433613874644</v>
      </c>
      <c r="W33" s="358">
        <f t="shared" si="17"/>
        <v>-448263.23361387471</v>
      </c>
      <c r="X33" s="736">
        <f t="shared" si="18"/>
        <v>115068056.76638611</v>
      </c>
      <c r="AA33" s="49"/>
      <c r="AD33"/>
      <c r="AM33"/>
    </row>
    <row r="34" spans="1:39">
      <c r="A34" s="99">
        <v>29</v>
      </c>
      <c r="B34" s="302" t="s">
        <v>121</v>
      </c>
      <c r="C34" s="311">
        <f>'Table 2_State Distrib and Adjs'!X35</f>
        <v>64323860</v>
      </c>
      <c r="D34" s="358"/>
      <c r="E34" s="358"/>
      <c r="F34" s="358">
        <f>-'Table 5C1A-Madison Prep'!O35-'Table 5C1A-Madison Prep'!R35</f>
        <v>0</v>
      </c>
      <c r="G34" s="358">
        <f>-'Table 5C1B-DArbonne'!O35-'Table 5C1B-DArbonne'!R35</f>
        <v>0</v>
      </c>
      <c r="H34" s="358">
        <f>-'Table 5C1C-Intl_VIBE'!O35-'Table 5C1C-Intl_VIBE'!R35</f>
        <v>0</v>
      </c>
      <c r="I34" s="358">
        <f>-'Table 5C1D-NOMMA'!O35-'Table 5C1D-NOMMA'!R35</f>
        <v>0</v>
      </c>
      <c r="J34" s="358">
        <f>-'Table 5C1E-LFNO'!Q35-'Table 5C1E-LFNO'!T35</f>
        <v>0</v>
      </c>
      <c r="K34" s="358">
        <f>-'Table 5C1F-Lake Charles Charter'!O35-'Table 5C1F-Lake Charles Charter'!R35</f>
        <v>0</v>
      </c>
      <c r="L34" s="358">
        <f>-'Table 5C1G-JS Clark Academy'!O35-'Table 5C1G-JS Clark Academy'!R35</f>
        <v>0</v>
      </c>
      <c r="M34" s="358">
        <f>-'Table 5C1H-Southwest LA Charter'!O35-'Table 5C1H-Southwest LA Charter'!R35</f>
        <v>0</v>
      </c>
      <c r="N34" s="358">
        <f>-'Table 5C1I-LA Key Academy'!O35+'Table 5C1I-LA Key Academy'!R35</f>
        <v>0</v>
      </c>
      <c r="O34" s="358">
        <f>-'Table 5C1J-Jefferson Chamber'!O35+'Table 5C1J-Jefferson Chamber'!R35</f>
        <v>0</v>
      </c>
      <c r="P34" s="358">
        <f>-'Table 5C1K-Tallulah Charter'!O35+'Table 5C1K-Tallulah Charter'!R35</f>
        <v>0</v>
      </c>
      <c r="Q34" s="358">
        <f>-'Table 5C1L-Northshore Charter'!O35+'Table 5C1L-Northshore Charter'!R35</f>
        <v>0</v>
      </c>
      <c r="R34" s="358">
        <f>-'Table 5C1M-EBR Charter'!O35+'Table 5C1M-EBR Charter'!R35</f>
        <v>0</v>
      </c>
      <c r="S34" s="358">
        <f>-'Table 5C1N-Delta Charter'!O35+'Table 5C1N-Delta Charter'!R35</f>
        <v>0</v>
      </c>
      <c r="T34" s="358">
        <f>-'Table 5C2 - LA Virtual Admy'!P32-'Table 5C2 - LA Virtual Admy'!S32</f>
        <v>-51440.399999999994</v>
      </c>
      <c r="U34" s="358">
        <f>-'Table 5C3 - LA Connections EBR'!P32-'Table 5C3 - LA Connections EBR'!S32</f>
        <v>-34293.599999999999</v>
      </c>
      <c r="V34" s="358">
        <f>-'Table 5E_OJJ'!P35-'Table 5E_OJJ'!Q35</f>
        <v>-33689.669415822405</v>
      </c>
      <c r="W34" s="358">
        <f t="shared" si="17"/>
        <v>-119423.6694158224</v>
      </c>
      <c r="X34" s="736">
        <f t="shared" si="18"/>
        <v>64204436.330584176</v>
      </c>
      <c r="AA34" s="49"/>
      <c r="AD34"/>
      <c r="AM34"/>
    </row>
    <row r="35" spans="1:39">
      <c r="A35" s="100">
        <v>30</v>
      </c>
      <c r="B35" s="303" t="s">
        <v>122</v>
      </c>
      <c r="C35" s="319">
        <f>'Table 2_State Distrib and Adjs'!X36</f>
        <v>15748278</v>
      </c>
      <c r="D35" s="359"/>
      <c r="E35" s="359"/>
      <c r="F35" s="359">
        <f>-'Table 5C1A-Madison Prep'!O36-'Table 5C1A-Madison Prep'!R36</f>
        <v>0</v>
      </c>
      <c r="G35" s="359">
        <f>-'Table 5C1B-DArbonne'!O36-'Table 5C1B-DArbonne'!R36</f>
        <v>0</v>
      </c>
      <c r="H35" s="359">
        <f>-'Table 5C1C-Intl_VIBE'!O36-'Table 5C1C-Intl_VIBE'!R36</f>
        <v>0</v>
      </c>
      <c r="I35" s="359">
        <f>-'Table 5C1D-NOMMA'!O36-'Table 5C1D-NOMMA'!R36</f>
        <v>0</v>
      </c>
      <c r="J35" s="359">
        <f>-'Table 5C1E-LFNO'!Q36-'Table 5C1E-LFNO'!T36</f>
        <v>0</v>
      </c>
      <c r="K35" s="359">
        <f>-'Table 5C1F-Lake Charles Charter'!O36-'Table 5C1F-Lake Charles Charter'!R36</f>
        <v>0</v>
      </c>
      <c r="L35" s="359">
        <f>-'Table 5C1G-JS Clark Academy'!O36-'Table 5C1G-JS Clark Academy'!R36</f>
        <v>0</v>
      </c>
      <c r="M35" s="359">
        <f>-'Table 5C1H-Southwest LA Charter'!O36-'Table 5C1H-Southwest LA Charter'!R36</f>
        <v>0</v>
      </c>
      <c r="N35" s="359">
        <f>-'Table 5C1I-LA Key Academy'!O36+'Table 5C1I-LA Key Academy'!R36</f>
        <v>0</v>
      </c>
      <c r="O35" s="359">
        <f>-'Table 5C1J-Jefferson Chamber'!O36+'Table 5C1J-Jefferson Chamber'!R36</f>
        <v>0</v>
      </c>
      <c r="P35" s="359">
        <f>-'Table 5C1K-Tallulah Charter'!O36+'Table 5C1K-Tallulah Charter'!R36</f>
        <v>0</v>
      </c>
      <c r="Q35" s="359">
        <f>-'Table 5C1L-Northshore Charter'!O36+'Table 5C1L-Northshore Charter'!R36</f>
        <v>0</v>
      </c>
      <c r="R35" s="359">
        <f>-'Table 5C1M-EBR Charter'!O36+'Table 5C1M-EBR Charter'!R36</f>
        <v>0</v>
      </c>
      <c r="S35" s="359">
        <f>-'Table 5C1N-Delta Charter'!O36+'Table 5C1N-Delta Charter'!R36</f>
        <v>0</v>
      </c>
      <c r="T35" s="359">
        <f>-'Table 5C2 - LA Virtual Admy'!P33-'Table 5C2 - LA Virtual Admy'!S33</f>
        <v>-11649.6</v>
      </c>
      <c r="U35" s="359">
        <f>-'Table 5C3 - LA Connections EBR'!P33-'Table 5C3 - LA Connections EBR'!S33</f>
        <v>-5824.8</v>
      </c>
      <c r="V35" s="359">
        <f>-'Table 5E_OJJ'!P36-'Table 5E_OJJ'!Q36</f>
        <v>0</v>
      </c>
      <c r="W35" s="359">
        <f t="shared" si="17"/>
        <v>-17474.400000000001</v>
      </c>
      <c r="X35" s="737">
        <f t="shared" si="18"/>
        <v>15730803.6</v>
      </c>
      <c r="AA35" s="49"/>
      <c r="AD35"/>
      <c r="AM35"/>
    </row>
    <row r="36" spans="1:39">
      <c r="A36" s="99">
        <v>31</v>
      </c>
      <c r="B36" s="302" t="s">
        <v>123</v>
      </c>
      <c r="C36" s="311">
        <f>'Table 2_State Distrib and Adjs'!X37</f>
        <v>31759151</v>
      </c>
      <c r="D36" s="358"/>
      <c r="E36" s="358"/>
      <c r="F36" s="358">
        <f>-'Table 5C1A-Madison Prep'!O37-'Table 5C1A-Madison Prep'!R37</f>
        <v>0</v>
      </c>
      <c r="G36" s="358">
        <f>-'Table 5C1B-DArbonne'!O37-'Table 5C1B-DArbonne'!R37</f>
        <v>-38360</v>
      </c>
      <c r="H36" s="358">
        <f>-'Table 5C1C-Intl_VIBE'!O37-'Table 5C1C-Intl_VIBE'!R37</f>
        <v>0</v>
      </c>
      <c r="I36" s="358">
        <f>-'Table 5C1D-NOMMA'!O37-'Table 5C1D-NOMMA'!R37</f>
        <v>0</v>
      </c>
      <c r="J36" s="358">
        <f>-'Table 5C1E-LFNO'!Q37-'Table 5C1E-LFNO'!T37</f>
        <v>0</v>
      </c>
      <c r="K36" s="358">
        <f>-'Table 5C1F-Lake Charles Charter'!O37-'Table 5C1F-Lake Charles Charter'!R37</f>
        <v>0</v>
      </c>
      <c r="L36" s="358">
        <f>-'Table 5C1G-JS Clark Academy'!O37-'Table 5C1G-JS Clark Academy'!R37</f>
        <v>0</v>
      </c>
      <c r="M36" s="358">
        <f>-'Table 5C1H-Southwest LA Charter'!O37-'Table 5C1H-Southwest LA Charter'!R37</f>
        <v>0</v>
      </c>
      <c r="N36" s="358">
        <f>-'Table 5C1I-LA Key Academy'!O37+'Table 5C1I-LA Key Academy'!R37</f>
        <v>0</v>
      </c>
      <c r="O36" s="358">
        <f>-'Table 5C1J-Jefferson Chamber'!O37+'Table 5C1J-Jefferson Chamber'!R37</f>
        <v>0</v>
      </c>
      <c r="P36" s="358">
        <f>-'Table 5C1K-Tallulah Charter'!O37+'Table 5C1K-Tallulah Charter'!R37</f>
        <v>0</v>
      </c>
      <c r="Q36" s="358">
        <f>-'Table 5C1L-Northshore Charter'!O37+'Table 5C1L-Northshore Charter'!R37</f>
        <v>0</v>
      </c>
      <c r="R36" s="358">
        <f>-'Table 5C1M-EBR Charter'!O37+'Table 5C1M-EBR Charter'!R37</f>
        <v>0</v>
      </c>
      <c r="S36" s="358">
        <f>-'Table 5C1N-Delta Charter'!O37+'Table 5C1N-Delta Charter'!R37</f>
        <v>0</v>
      </c>
      <c r="T36" s="358">
        <f>-'Table 5C2 - LA Virtual Admy'!P34-'Table 5C2 - LA Virtual Admy'!S34</f>
        <v>-2317.0499999999993</v>
      </c>
      <c r="U36" s="358">
        <f>-'Table 5C3 - LA Connections EBR'!P34-'Table 5C3 - LA Connections EBR'!S34</f>
        <v>-17262</v>
      </c>
      <c r="V36" s="358">
        <f>-'Table 5E_OJJ'!P37-'Table 5E_OJJ'!Q37</f>
        <v>-5294.2283847535637</v>
      </c>
      <c r="W36" s="358">
        <f t="shared" si="17"/>
        <v>-63233.278384753568</v>
      </c>
      <c r="X36" s="736">
        <f t="shared" si="18"/>
        <v>31695917.721615247</v>
      </c>
      <c r="AA36" s="49"/>
      <c r="AD36"/>
      <c r="AM36"/>
    </row>
    <row r="37" spans="1:39">
      <c r="A37" s="99">
        <v>32</v>
      </c>
      <c r="B37" s="302" t="s">
        <v>124</v>
      </c>
      <c r="C37" s="311">
        <f>'Table 2_State Distrib and Adjs'!X38</f>
        <v>150497397</v>
      </c>
      <c r="D37" s="358"/>
      <c r="E37" s="358"/>
      <c r="F37" s="358">
        <f>-'Table 5C1A-Madison Prep'!O38-'Table 5C1A-Madison Prep'!R38</f>
        <v>0</v>
      </c>
      <c r="G37" s="358">
        <f>-'Table 5C1B-DArbonne'!O38-'Table 5C1B-DArbonne'!R38</f>
        <v>0</v>
      </c>
      <c r="H37" s="358">
        <f>-'Table 5C1C-Intl_VIBE'!O38-'Table 5C1C-Intl_VIBE'!R38</f>
        <v>0</v>
      </c>
      <c r="I37" s="358">
        <f>-'Table 5C1D-NOMMA'!O38-'Table 5C1D-NOMMA'!R38</f>
        <v>0</v>
      </c>
      <c r="J37" s="358">
        <f>-'Table 5C1E-LFNO'!Q38-'Table 5C1E-LFNO'!T38</f>
        <v>0</v>
      </c>
      <c r="K37" s="358">
        <f>-'Table 5C1F-Lake Charles Charter'!O38-'Table 5C1F-Lake Charles Charter'!R38</f>
        <v>0</v>
      </c>
      <c r="L37" s="358">
        <f>-'Table 5C1G-JS Clark Academy'!O38-'Table 5C1G-JS Clark Academy'!R38</f>
        <v>0</v>
      </c>
      <c r="M37" s="358">
        <f>-'Table 5C1H-Southwest LA Charter'!O38-'Table 5C1H-Southwest LA Charter'!R38</f>
        <v>0</v>
      </c>
      <c r="N37" s="358">
        <f>-'Table 5C1I-LA Key Academy'!O38+'Table 5C1I-LA Key Academy'!R38</f>
        <v>-12654</v>
      </c>
      <c r="O37" s="358">
        <f>-'Table 5C1J-Jefferson Chamber'!O38+'Table 5C1J-Jefferson Chamber'!R38</f>
        <v>0</v>
      </c>
      <c r="P37" s="358">
        <f>-'Table 5C1K-Tallulah Charter'!O38+'Table 5C1K-Tallulah Charter'!R38</f>
        <v>0</v>
      </c>
      <c r="Q37" s="358">
        <f>-'Table 5C1L-Northshore Charter'!O38+'Table 5C1L-Northshore Charter'!R38</f>
        <v>0</v>
      </c>
      <c r="R37" s="358">
        <f>-'Table 5C1M-EBR Charter'!O38+'Table 5C1M-EBR Charter'!R38</f>
        <v>0</v>
      </c>
      <c r="S37" s="358">
        <f>-'Table 5C1N-Delta Charter'!O38+'Table 5C1N-Delta Charter'!R38</f>
        <v>0</v>
      </c>
      <c r="T37" s="358">
        <f>-'Table 5C2 - LA Virtual Admy'!P35-'Table 5C2 - LA Virtual Admy'!S35</f>
        <v>-63270.450000000004</v>
      </c>
      <c r="U37" s="358">
        <f>-'Table 5C3 - LA Connections EBR'!P35-'Table 5C3 - LA Connections EBR'!S35</f>
        <v>-144255.6</v>
      </c>
      <c r="V37" s="358">
        <f>-'Table 5E_OJJ'!P38-'Table 5E_OJJ'!Q38</f>
        <v>-3401.5348369918643</v>
      </c>
      <c r="W37" s="358">
        <f t="shared" si="17"/>
        <v>-223581.58483699188</v>
      </c>
      <c r="X37" s="736">
        <f t="shared" si="18"/>
        <v>150273815.41516304</v>
      </c>
      <c r="AA37" s="49"/>
      <c r="AD37"/>
      <c r="AM37"/>
    </row>
    <row r="38" spans="1:39">
      <c r="A38" s="99">
        <v>33</v>
      </c>
      <c r="B38" s="302" t="s">
        <v>125</v>
      </c>
      <c r="C38" s="311">
        <f>'Table 2_State Distrib and Adjs'!X39</f>
        <v>10639164</v>
      </c>
      <c r="D38" s="358"/>
      <c r="E38" s="358"/>
      <c r="F38" s="358">
        <f>-'Table 5C1A-Madison Prep'!O39-'Table 5C1A-Madison Prep'!R39</f>
        <v>0</v>
      </c>
      <c r="G38" s="358">
        <f>-'Table 5C1B-DArbonne'!O39-'Table 5C1B-DArbonne'!R39</f>
        <v>0</v>
      </c>
      <c r="H38" s="358">
        <f>-'Table 5C1C-Intl_VIBE'!O39-'Table 5C1C-Intl_VIBE'!R39</f>
        <v>0</v>
      </c>
      <c r="I38" s="358">
        <f>-'Table 5C1D-NOMMA'!O39-'Table 5C1D-NOMMA'!R39</f>
        <v>0</v>
      </c>
      <c r="J38" s="358">
        <f>-'Table 5C1E-LFNO'!Q39-'Table 5C1E-LFNO'!T39</f>
        <v>0</v>
      </c>
      <c r="K38" s="358">
        <f>-'Table 5C1F-Lake Charles Charter'!O39-'Table 5C1F-Lake Charles Charter'!R39</f>
        <v>0</v>
      </c>
      <c r="L38" s="358">
        <f>-'Table 5C1G-JS Clark Academy'!O39-'Table 5C1G-JS Clark Academy'!R39</f>
        <v>0</v>
      </c>
      <c r="M38" s="358">
        <f>-'Table 5C1H-Southwest LA Charter'!O39-'Table 5C1H-Southwest LA Charter'!R39</f>
        <v>0</v>
      </c>
      <c r="N38" s="358">
        <f>-'Table 5C1I-LA Key Academy'!O39+'Table 5C1I-LA Key Academy'!R39</f>
        <v>0</v>
      </c>
      <c r="O38" s="358">
        <f>-'Table 5C1J-Jefferson Chamber'!O39+'Table 5C1J-Jefferson Chamber'!R39</f>
        <v>0</v>
      </c>
      <c r="P38" s="358">
        <f>-'Table 5C1K-Tallulah Charter'!O39+'Table 5C1K-Tallulah Charter'!R39</f>
        <v>-614568</v>
      </c>
      <c r="Q38" s="358">
        <f>-'Table 5C1L-Northshore Charter'!O39+'Table 5C1L-Northshore Charter'!R39</f>
        <v>0</v>
      </c>
      <c r="R38" s="358">
        <f>-'Table 5C1M-EBR Charter'!O39+'Table 5C1M-EBR Charter'!R39</f>
        <v>0</v>
      </c>
      <c r="S38" s="358">
        <f>-'Table 5C1N-Delta Charter'!O39+'Table 5C1N-Delta Charter'!R39</f>
        <v>0</v>
      </c>
      <c r="T38" s="358">
        <f>-'Table 5C2 - LA Virtual Admy'!P36-'Table 5C2 - LA Virtual Admy'!S36</f>
        <v>3453.3</v>
      </c>
      <c r="U38" s="358">
        <f>-'Table 5C3 - LA Connections EBR'!P36-'Table 5C3 - LA Connections EBR'!S36</f>
        <v>-9536.4</v>
      </c>
      <c r="V38" s="358">
        <f>-'Table 5E_OJJ'!P39-'Table 5E_OJJ'!Q39</f>
        <v>-7478.163913760226</v>
      </c>
      <c r="W38" s="358">
        <f t="shared" ref="W38:W69" si="19">SUM(D38:V38)</f>
        <v>-628129.26391376019</v>
      </c>
      <c r="X38" s="736">
        <f t="shared" ref="X38:X74" si="20">SUM(C38:V38)</f>
        <v>10011034.73608624</v>
      </c>
      <c r="AA38" s="49"/>
      <c r="AD38"/>
      <c r="AM38"/>
    </row>
    <row r="39" spans="1:39">
      <c r="A39" s="99">
        <v>34</v>
      </c>
      <c r="B39" s="302" t="s">
        <v>126</v>
      </c>
      <c r="C39" s="311">
        <f>'Table 2_State Distrib and Adjs'!X40</f>
        <v>28250899</v>
      </c>
      <c r="D39" s="358"/>
      <c r="E39" s="358"/>
      <c r="F39" s="358">
        <f>-'Table 5C1A-Madison Prep'!O40-'Table 5C1A-Madison Prep'!R40</f>
        <v>0</v>
      </c>
      <c r="G39" s="358">
        <f>-'Table 5C1B-DArbonne'!O40-'Table 5C1B-DArbonne'!R40</f>
        <v>0</v>
      </c>
      <c r="H39" s="358">
        <f>-'Table 5C1C-Intl_VIBE'!O40-'Table 5C1C-Intl_VIBE'!R40</f>
        <v>0</v>
      </c>
      <c r="I39" s="358">
        <f>-'Table 5C1D-NOMMA'!O40-'Table 5C1D-NOMMA'!R40</f>
        <v>0</v>
      </c>
      <c r="J39" s="358">
        <f>-'Table 5C1E-LFNO'!Q40-'Table 5C1E-LFNO'!T40</f>
        <v>0</v>
      </c>
      <c r="K39" s="358">
        <f>-'Table 5C1F-Lake Charles Charter'!O40-'Table 5C1F-Lake Charles Charter'!R40</f>
        <v>0</v>
      </c>
      <c r="L39" s="358">
        <f>-'Table 5C1G-JS Clark Academy'!O40-'Table 5C1G-JS Clark Academy'!R40</f>
        <v>0</v>
      </c>
      <c r="M39" s="358">
        <f>-'Table 5C1H-Southwest LA Charter'!O40-'Table 5C1H-Southwest LA Charter'!R40</f>
        <v>0</v>
      </c>
      <c r="N39" s="358">
        <f>-'Table 5C1I-LA Key Academy'!O40+'Table 5C1I-LA Key Academy'!R40</f>
        <v>0</v>
      </c>
      <c r="O39" s="358">
        <f>-'Table 5C1J-Jefferson Chamber'!O40+'Table 5C1J-Jefferson Chamber'!R40</f>
        <v>0</v>
      </c>
      <c r="P39" s="358">
        <f>-'Table 5C1K-Tallulah Charter'!O40+'Table 5C1K-Tallulah Charter'!R40</f>
        <v>0</v>
      </c>
      <c r="Q39" s="358">
        <f>-'Table 5C1L-Northshore Charter'!O40+'Table 5C1L-Northshore Charter'!R40</f>
        <v>0</v>
      </c>
      <c r="R39" s="358">
        <f>-'Table 5C1M-EBR Charter'!O40+'Table 5C1M-EBR Charter'!R40</f>
        <v>0</v>
      </c>
      <c r="S39" s="358">
        <f>-'Table 5C1N-Delta Charter'!O40+'Table 5C1N-Delta Charter'!R40</f>
        <v>0</v>
      </c>
      <c r="T39" s="358">
        <f>-'Table 5C2 - LA Virtual Admy'!P37-'Table 5C2 - LA Virtual Admy'!S37</f>
        <v>-39245.85</v>
      </c>
      <c r="U39" s="358">
        <f>-'Table 5C3 - LA Connections EBR'!P37-'Table 5C3 - LA Connections EBR'!S37</f>
        <v>-17747.100000000002</v>
      </c>
      <c r="V39" s="358">
        <f>-'Table 5E_OJJ'!P40-'Table 5E_OJJ'!Q40</f>
        <v>-2151.6103592845816</v>
      </c>
      <c r="W39" s="358">
        <f t="shared" si="19"/>
        <v>-59144.56035928458</v>
      </c>
      <c r="X39" s="736">
        <f t="shared" si="20"/>
        <v>28191754.439640712</v>
      </c>
      <c r="AA39" s="49"/>
      <c r="AD39"/>
      <c r="AM39"/>
    </row>
    <row r="40" spans="1:39">
      <c r="A40" s="100">
        <v>35</v>
      </c>
      <c r="B40" s="303" t="s">
        <v>127</v>
      </c>
      <c r="C40" s="319">
        <f>'Table 2_State Distrib and Adjs'!X41</f>
        <v>33220661</v>
      </c>
      <c r="D40" s="359"/>
      <c r="E40" s="359"/>
      <c r="F40" s="359">
        <f>-'Table 5C1A-Madison Prep'!O41-'Table 5C1A-Madison Prep'!R41</f>
        <v>0</v>
      </c>
      <c r="G40" s="359">
        <f>-'Table 5C1B-DArbonne'!O41-'Table 5C1B-DArbonne'!R41</f>
        <v>0</v>
      </c>
      <c r="H40" s="359">
        <f>-'Table 5C1C-Intl_VIBE'!O41-'Table 5C1C-Intl_VIBE'!R41</f>
        <v>0</v>
      </c>
      <c r="I40" s="359">
        <f>-'Table 5C1D-NOMMA'!O41-'Table 5C1D-NOMMA'!R41</f>
        <v>0</v>
      </c>
      <c r="J40" s="359">
        <f>-'Table 5C1E-LFNO'!Q41-'Table 5C1E-LFNO'!T41</f>
        <v>0</v>
      </c>
      <c r="K40" s="359">
        <f>-'Table 5C1F-Lake Charles Charter'!O41-'Table 5C1F-Lake Charles Charter'!R41</f>
        <v>0</v>
      </c>
      <c r="L40" s="359">
        <f>-'Table 5C1G-JS Clark Academy'!O41-'Table 5C1G-JS Clark Academy'!R41</f>
        <v>0</v>
      </c>
      <c r="M40" s="359">
        <f>-'Table 5C1H-Southwest LA Charter'!O41-'Table 5C1H-Southwest LA Charter'!R41</f>
        <v>0</v>
      </c>
      <c r="N40" s="359">
        <f>-'Table 5C1I-LA Key Academy'!O41+'Table 5C1I-LA Key Academy'!R41</f>
        <v>0</v>
      </c>
      <c r="O40" s="359">
        <f>-'Table 5C1J-Jefferson Chamber'!O41+'Table 5C1J-Jefferson Chamber'!R41</f>
        <v>0</v>
      </c>
      <c r="P40" s="359">
        <f>-'Table 5C1K-Tallulah Charter'!O41+'Table 5C1K-Tallulah Charter'!R41</f>
        <v>0</v>
      </c>
      <c r="Q40" s="359">
        <f>-'Table 5C1L-Northshore Charter'!O41+'Table 5C1L-Northshore Charter'!R41</f>
        <v>0</v>
      </c>
      <c r="R40" s="359">
        <f>-'Table 5C1M-EBR Charter'!O41+'Table 5C1M-EBR Charter'!R41</f>
        <v>0</v>
      </c>
      <c r="S40" s="359">
        <f>-'Table 5C1N-Delta Charter'!O41+'Table 5C1N-Delta Charter'!R41</f>
        <v>0</v>
      </c>
      <c r="T40" s="359">
        <f>-'Table 5C2 - LA Virtual Admy'!P38-'Table 5C2 - LA Virtual Admy'!S38</f>
        <v>-54709.200000000004</v>
      </c>
      <c r="U40" s="359">
        <f>-'Table 5C3 - LA Connections EBR'!P38-'Table 5C3 - LA Connections EBR'!S38</f>
        <v>-47491.200000000004</v>
      </c>
      <c r="V40" s="359">
        <f>-'Table 5E_OJJ'!P41-'Table 5E_OJJ'!Q41</f>
        <v>-10531.023609362544</v>
      </c>
      <c r="W40" s="359">
        <f t="shared" si="19"/>
        <v>-112731.42360936255</v>
      </c>
      <c r="X40" s="737">
        <f t="shared" si="20"/>
        <v>33107929.576390639</v>
      </c>
      <c r="AA40" s="49"/>
      <c r="AD40"/>
      <c r="AM40"/>
    </row>
    <row r="41" spans="1:39">
      <c r="A41" s="99">
        <v>36</v>
      </c>
      <c r="B41" s="302" t="s">
        <v>128</v>
      </c>
      <c r="C41" s="311">
        <f>'Table 2_State Distrib and Adjs'!X42</f>
        <v>46764601</v>
      </c>
      <c r="D41" s="358"/>
      <c r="E41" s="999">
        <f>-'Table 5B1_RSD_Orleans'!L70-'Table 5B1_RSD_Orleans'!Q70</f>
        <v>-135902763.5</v>
      </c>
      <c r="F41" s="358">
        <f>-'Table 5C1A-Madison Prep'!O42-'Table 5C1A-Madison Prep'!R42</f>
        <v>0</v>
      </c>
      <c r="G41" s="358">
        <f>-'Table 5C1B-DArbonne'!O42-'Table 5C1B-DArbonne'!R42</f>
        <v>0</v>
      </c>
      <c r="H41" s="358">
        <f>-'Table 5C1C-Intl_VIBE'!O42-'Table 5C1C-Intl_VIBE'!R42</f>
        <v>-1803778</v>
      </c>
      <c r="I41" s="358">
        <f>-'Table 5C1D-NOMMA'!O42-'Table 5C1D-NOMMA'!R42</f>
        <v>-565968</v>
      </c>
      <c r="J41" s="358">
        <f>-'Table 5C1E-LFNO'!Q42-'Table 5C1E-LFNO'!T42</f>
        <v>-794532</v>
      </c>
      <c r="K41" s="358">
        <f>-'Table 5C1F-Lake Charles Charter'!O42-'Table 5C1F-Lake Charles Charter'!R42</f>
        <v>0</v>
      </c>
      <c r="L41" s="358">
        <f>-'Table 5C1G-JS Clark Academy'!O42-'Table 5C1G-JS Clark Academy'!R42</f>
        <v>0</v>
      </c>
      <c r="M41" s="358">
        <f>-'Table 5C1H-Southwest LA Charter'!O42-'Table 5C1H-Southwest LA Charter'!R42</f>
        <v>0</v>
      </c>
      <c r="N41" s="358">
        <f>-'Table 5C1I-LA Key Academy'!O42+'Table 5C1I-LA Key Academy'!R42</f>
        <v>0</v>
      </c>
      <c r="O41" s="358">
        <f>-'Table 5C1J-Jefferson Chamber'!O42+'Table 5C1J-Jefferson Chamber'!R42</f>
        <v>-27210</v>
      </c>
      <c r="P41" s="358">
        <f>-'Table 5C1K-Tallulah Charter'!O42+'Table 5C1K-Tallulah Charter'!R42</f>
        <v>0</v>
      </c>
      <c r="Q41" s="358">
        <f>-'Table 5C1L-Northshore Charter'!O42+'Table 5C1L-Northshore Charter'!R42</f>
        <v>0</v>
      </c>
      <c r="R41" s="358">
        <f>-'Table 5C1M-EBR Charter'!O42+'Table 5C1M-EBR Charter'!R42</f>
        <v>0</v>
      </c>
      <c r="S41" s="358">
        <f>-'Table 5C1N-Delta Charter'!O42+'Table 5C1N-Delta Charter'!R42</f>
        <v>0</v>
      </c>
      <c r="T41" s="358">
        <f>-'Table 5C2 - LA Virtual Admy'!P39-'Table 5C2 - LA Virtual Admy'!S39</f>
        <v>-245953.80000000002</v>
      </c>
      <c r="U41" s="358">
        <f>-'Table 5C3 - LA Connections EBR'!P39-'Table 5C3 - LA Connections EBR'!S39</f>
        <v>-210605.4</v>
      </c>
      <c r="V41" s="358">
        <f>-'Table 5E_OJJ'!P42-'Table 5E_OJJ'!Q42</f>
        <v>-128353.17640317293</v>
      </c>
      <c r="W41" s="1042">
        <f t="shared" si="19"/>
        <v>-139679163.87640318</v>
      </c>
      <c r="X41" s="736">
        <f t="shared" si="20"/>
        <v>-92914562.876403183</v>
      </c>
      <c r="Z41" s="1034"/>
      <c r="AA41" s="49"/>
      <c r="AB41" s="1034"/>
      <c r="AD41"/>
      <c r="AM41"/>
    </row>
    <row r="42" spans="1:39">
      <c r="A42" s="99">
        <v>37</v>
      </c>
      <c r="B42" s="302" t="s">
        <v>129</v>
      </c>
      <c r="C42" s="311">
        <f>'Table 2_State Distrib and Adjs'!X43</f>
        <v>120353256</v>
      </c>
      <c r="D42" s="358"/>
      <c r="E42" s="358"/>
      <c r="F42" s="358">
        <f>-'Table 5C1A-Madison Prep'!O43-'Table 5C1A-Madison Prep'!R43</f>
        <v>0</v>
      </c>
      <c r="G42" s="358">
        <f>-'Table 5C1B-DArbonne'!O43-'Table 5C1B-DArbonne'!R43</f>
        <v>-9681</v>
      </c>
      <c r="H42" s="358">
        <f>-'Table 5C1C-Intl_VIBE'!O43-'Table 5C1C-Intl_VIBE'!R43</f>
        <v>0</v>
      </c>
      <c r="I42" s="49">
        <f>-'Table 5C1D-NOMMA'!O43-'Table 5C1D-NOMMA'!R43</f>
        <v>0</v>
      </c>
      <c r="J42" s="358">
        <f>-'Table 5C1E-LFNO'!Q43-'Table 5C1E-LFNO'!T43</f>
        <v>0</v>
      </c>
      <c r="K42" s="358">
        <f>-'Table 5C1F-Lake Charles Charter'!O43-'Table 5C1F-Lake Charles Charter'!R43</f>
        <v>0</v>
      </c>
      <c r="L42" s="358">
        <f>-'Table 5C1G-JS Clark Academy'!O43-'Table 5C1G-JS Clark Academy'!R43</f>
        <v>0</v>
      </c>
      <c r="M42" s="358">
        <f>-'Table 5C1H-Southwest LA Charter'!O43-'Table 5C1H-Southwest LA Charter'!R43</f>
        <v>0</v>
      </c>
      <c r="N42" s="358">
        <f>-'Table 5C1I-LA Key Academy'!O43+'Table 5C1I-LA Key Academy'!R43</f>
        <v>0</v>
      </c>
      <c r="O42" s="358">
        <f>-'Table 5C1J-Jefferson Chamber'!O43+'Table 5C1J-Jefferson Chamber'!R43</f>
        <v>0</v>
      </c>
      <c r="P42" s="358">
        <f>-'Table 5C1K-Tallulah Charter'!O43+'Table 5C1K-Tallulah Charter'!R43</f>
        <v>0</v>
      </c>
      <c r="Q42" s="358">
        <f>-'Table 5C1L-Northshore Charter'!O43+'Table 5C1L-Northshore Charter'!R43</f>
        <v>0</v>
      </c>
      <c r="R42" s="358">
        <f>-'Table 5C1M-EBR Charter'!O43+'Table 5C1M-EBR Charter'!R43</f>
        <v>0</v>
      </c>
      <c r="S42" s="358">
        <f>-'Table 5C1N-Delta Charter'!O43+'Table 5C1N-Delta Charter'!R43</f>
        <v>0</v>
      </c>
      <c r="T42" s="358">
        <f>-'Table 5C2 - LA Virtual Admy'!P40-'Table 5C2 - LA Virtual Admy'!S40</f>
        <v>-115640.1</v>
      </c>
      <c r="U42" s="358">
        <f>-'Table 5C3 - LA Connections EBR'!P40-'Table 5C3 - LA Connections EBR'!S40</f>
        <v>-49373.100000000006</v>
      </c>
      <c r="V42" s="358">
        <f>-'Table 5E_OJJ'!P43-'Table 5E_OJJ'!Q43</f>
        <v>-14508.572855943117</v>
      </c>
      <c r="W42" s="358">
        <f t="shared" si="19"/>
        <v>-189202.77285594313</v>
      </c>
      <c r="X42" s="736">
        <f t="shared" si="20"/>
        <v>120164053.22714406</v>
      </c>
      <c r="Z42" s="1034"/>
      <c r="AA42" s="49"/>
      <c r="AB42" s="1034"/>
      <c r="AD42"/>
      <c r="AM42"/>
    </row>
    <row r="43" spans="1:39">
      <c r="A43" s="99">
        <v>38</v>
      </c>
      <c r="B43" s="302" t="s">
        <v>130</v>
      </c>
      <c r="C43" s="311">
        <f>'Table 2_State Distrib and Adjs'!X44</f>
        <v>11416945</v>
      </c>
      <c r="D43" s="358"/>
      <c r="E43" s="358"/>
      <c r="F43" s="358">
        <f>-'Table 5C1A-Madison Prep'!O44-'Table 5C1A-Madison Prep'!R44</f>
        <v>0</v>
      </c>
      <c r="G43" s="358">
        <f>-'Table 5C1B-DArbonne'!O44-'Table 5C1B-DArbonne'!R44</f>
        <v>0</v>
      </c>
      <c r="H43" s="358">
        <f>-'Table 5C1C-Intl_VIBE'!O44-'Table 5C1C-Intl_VIBE'!R44</f>
        <v>0</v>
      </c>
      <c r="I43" s="358">
        <f>-'Table 5C1D-NOMMA'!O44-'Table 5C1D-NOMMA'!R44</f>
        <v>-86936</v>
      </c>
      <c r="J43" s="358">
        <f>-'Table 5C1E-LFNO'!Q44-'Table 5C1E-LFNO'!T44</f>
        <v>-32601</v>
      </c>
      <c r="K43" s="358">
        <f>-'Table 5C1F-Lake Charles Charter'!O44-'Table 5C1F-Lake Charles Charter'!R44</f>
        <v>0</v>
      </c>
      <c r="L43" s="358">
        <f>-'Table 5C1G-JS Clark Academy'!O44-'Table 5C1G-JS Clark Academy'!R44</f>
        <v>0</v>
      </c>
      <c r="M43" s="358">
        <f>-'Table 5C1H-Southwest LA Charter'!O44-'Table 5C1H-Southwest LA Charter'!R44</f>
        <v>0</v>
      </c>
      <c r="N43" s="358">
        <f>-'Table 5C1I-LA Key Academy'!O44+'Table 5C1I-LA Key Academy'!R44</f>
        <v>0</v>
      </c>
      <c r="O43" s="358">
        <f>-'Table 5C1J-Jefferson Chamber'!O44+'Table 5C1J-Jefferson Chamber'!R44</f>
        <v>0</v>
      </c>
      <c r="P43" s="358">
        <f>-'Table 5C1K-Tallulah Charter'!O44+'Table 5C1K-Tallulah Charter'!R44</f>
        <v>0</v>
      </c>
      <c r="Q43" s="358">
        <f>-'Table 5C1L-Northshore Charter'!O44+'Table 5C1L-Northshore Charter'!R44</f>
        <v>0</v>
      </c>
      <c r="R43" s="358">
        <f>-'Table 5C1M-EBR Charter'!O44+'Table 5C1M-EBR Charter'!R44</f>
        <v>0</v>
      </c>
      <c r="S43" s="358">
        <f>-'Table 5C1N-Delta Charter'!O44+'Table 5C1N-Delta Charter'!R44</f>
        <v>0</v>
      </c>
      <c r="T43" s="358">
        <f>-'Table 5C2 - LA Virtual Admy'!P41-'Table 5C2 - LA Virtual Admy'!S41</f>
        <v>-14419.800000000003</v>
      </c>
      <c r="U43" s="358">
        <f>-'Table 5C3 - LA Connections EBR'!P41-'Table 5C3 - LA Connections EBR'!S41</f>
        <v>-58681.8</v>
      </c>
      <c r="V43" s="358">
        <f>-'Table 5E_OJJ'!P44-'Table 5E_OJJ'!Q44</f>
        <v>-3445.7922835512722</v>
      </c>
      <c r="W43" s="358">
        <f t="shared" si="19"/>
        <v>-196084.39228355125</v>
      </c>
      <c r="X43" s="736">
        <f t="shared" si="20"/>
        <v>11220860.607716447</v>
      </c>
      <c r="Z43" s="1034"/>
      <c r="AA43" s="49"/>
      <c r="AB43" s="1034"/>
      <c r="AD43"/>
      <c r="AM43"/>
    </row>
    <row r="44" spans="1:39">
      <c r="A44" s="99">
        <v>39</v>
      </c>
      <c r="B44" s="302" t="s">
        <v>131</v>
      </c>
      <c r="C44" s="311">
        <f>'Table 2_State Distrib and Adjs'!X45</f>
        <v>11491090</v>
      </c>
      <c r="D44" s="358">
        <f>-'Table 5B2_RSD_LA'!Q23-'Table 5B2_RSD_LA'!V23</f>
        <v>-959751</v>
      </c>
      <c r="E44" s="358"/>
      <c r="F44" s="358">
        <f>-'Table 5C1A-Madison Prep'!O45-'Table 5C1A-Madison Prep'!R45</f>
        <v>0</v>
      </c>
      <c r="G44" s="358">
        <f>-'Table 5C1B-DArbonne'!O45-'Table 5C1B-DArbonne'!R45</f>
        <v>0</v>
      </c>
      <c r="H44" s="358">
        <f>-'Table 5C1C-Intl_VIBE'!O45-'Table 5C1C-Intl_VIBE'!R45</f>
        <v>0</v>
      </c>
      <c r="I44" s="358">
        <f>-'Table 5C1D-NOMMA'!O45-'Table 5C1D-NOMMA'!R45</f>
        <v>0</v>
      </c>
      <c r="J44" s="358">
        <f>-'Table 5C1E-LFNO'!Q45-'Table 5C1E-LFNO'!T45</f>
        <v>0</v>
      </c>
      <c r="K44" s="358">
        <f>-'Table 5C1F-Lake Charles Charter'!O45-'Table 5C1F-Lake Charles Charter'!R45</f>
        <v>0</v>
      </c>
      <c r="L44" s="358">
        <f>-'Table 5C1G-JS Clark Academy'!O45-'Table 5C1G-JS Clark Academy'!R45</f>
        <v>0</v>
      </c>
      <c r="M44" s="358">
        <f>-'Table 5C1H-Southwest LA Charter'!O45-'Table 5C1H-Southwest LA Charter'!R45</f>
        <v>0</v>
      </c>
      <c r="N44" s="358">
        <f>-'Table 5C1I-LA Key Academy'!O45+'Table 5C1I-LA Key Academy'!R45</f>
        <v>0</v>
      </c>
      <c r="O44" s="358">
        <f>-'Table 5C1J-Jefferson Chamber'!O45+'Table 5C1J-Jefferson Chamber'!R45</f>
        <v>0</v>
      </c>
      <c r="P44" s="358">
        <f>-'Table 5C1K-Tallulah Charter'!O45+'Table 5C1K-Tallulah Charter'!R45</f>
        <v>0</v>
      </c>
      <c r="Q44" s="358">
        <f>-'Table 5C1L-Northshore Charter'!O45+'Table 5C1L-Northshore Charter'!R45</f>
        <v>0</v>
      </c>
      <c r="R44" s="358">
        <f>-'Table 5C1M-EBR Charter'!O45+'Table 5C1M-EBR Charter'!R45</f>
        <v>0</v>
      </c>
      <c r="S44" s="358">
        <f>-'Table 5C1N-Delta Charter'!O45+'Table 5C1N-Delta Charter'!R45</f>
        <v>0</v>
      </c>
      <c r="T44" s="358">
        <f>-'Table 5C2 - LA Virtual Admy'!P42-'Table 5C2 - LA Virtual Admy'!S42</f>
        <v>-8094.5999999999985</v>
      </c>
      <c r="U44" s="358">
        <f>-'Table 5C3 - LA Connections EBR'!P42-'Table 5C3 - LA Connections EBR'!S42</f>
        <v>-19458</v>
      </c>
      <c r="V44" s="358">
        <f>-'Table 5E_OJJ'!P45-'Table 5E_OJJ'!Q45</f>
        <v>-12540.688540882467</v>
      </c>
      <c r="W44" s="358">
        <f t="shared" si="19"/>
        <v>-999844.28854088241</v>
      </c>
      <c r="X44" s="736">
        <f t="shared" si="20"/>
        <v>10491245.711459117</v>
      </c>
      <c r="Z44" s="558"/>
      <c r="AA44" s="49"/>
      <c r="AB44" s="558"/>
      <c r="AD44"/>
      <c r="AM44"/>
    </row>
    <row r="45" spans="1:39">
      <c r="A45" s="100">
        <v>40</v>
      </c>
      <c r="B45" s="303" t="s">
        <v>132</v>
      </c>
      <c r="C45" s="319">
        <f>'Table 2_State Distrib and Adjs'!X46</f>
        <v>128854366</v>
      </c>
      <c r="D45" s="359"/>
      <c r="E45" s="359"/>
      <c r="F45" s="359">
        <f>-'Table 5C1A-Madison Prep'!O46-'Table 5C1A-Madison Prep'!R46</f>
        <v>0</v>
      </c>
      <c r="G45" s="359">
        <f>-'Table 5C1B-DArbonne'!O46-'Table 5C1B-DArbonne'!R46</f>
        <v>0</v>
      </c>
      <c r="H45" s="359">
        <f>-'Table 5C1C-Intl_VIBE'!O46-'Table 5C1C-Intl_VIBE'!R46</f>
        <v>0</v>
      </c>
      <c r="I45" s="359">
        <f>-'Table 5C1D-NOMMA'!O46-'Table 5C1D-NOMMA'!R46</f>
        <v>0</v>
      </c>
      <c r="J45" s="359">
        <f>-'Table 5C1E-LFNO'!Q46-'Table 5C1E-LFNO'!T46</f>
        <v>0</v>
      </c>
      <c r="K45" s="359">
        <f>-'Table 5C1F-Lake Charles Charter'!O46-'Table 5C1F-Lake Charles Charter'!R46</f>
        <v>0</v>
      </c>
      <c r="L45" s="359">
        <f>-'Table 5C1G-JS Clark Academy'!O46-'Table 5C1G-JS Clark Academy'!R46</f>
        <v>0</v>
      </c>
      <c r="M45" s="359">
        <f>-'Table 5C1H-Southwest LA Charter'!O46-'Table 5C1H-Southwest LA Charter'!R46</f>
        <v>0</v>
      </c>
      <c r="N45" s="359">
        <f>-'Table 5C1I-LA Key Academy'!O46+'Table 5C1I-LA Key Academy'!R46</f>
        <v>0</v>
      </c>
      <c r="O45" s="359">
        <f>-'Table 5C1J-Jefferson Chamber'!O46+'Table 5C1J-Jefferson Chamber'!R46</f>
        <v>0</v>
      </c>
      <c r="P45" s="359">
        <f>-'Table 5C1K-Tallulah Charter'!O46+'Table 5C1K-Tallulah Charter'!R46</f>
        <v>0</v>
      </c>
      <c r="Q45" s="359">
        <f>-'Table 5C1L-Northshore Charter'!O46+'Table 5C1L-Northshore Charter'!R46</f>
        <v>0</v>
      </c>
      <c r="R45" s="359">
        <f>-'Table 5C1M-EBR Charter'!O46+'Table 5C1M-EBR Charter'!R46</f>
        <v>0</v>
      </c>
      <c r="S45" s="359">
        <f>-'Table 5C1N-Delta Charter'!O46+'Table 5C1N-Delta Charter'!R46</f>
        <v>0</v>
      </c>
      <c r="T45" s="359">
        <f>-'Table 5C2 - LA Virtual Admy'!P43-'Table 5C2 - LA Virtual Admy'!S43</f>
        <v>-73875.600000000006</v>
      </c>
      <c r="U45" s="359">
        <f>-'Table 5C3 - LA Connections EBR'!P43-'Table 5C3 - LA Connections EBR'!S43</f>
        <v>-73070.100000000006</v>
      </c>
      <c r="V45" s="359">
        <f>-'Table 5E_OJJ'!P46-'Table 5E_OJJ'!Q46</f>
        <v>-20035.533424214242</v>
      </c>
      <c r="W45" s="359">
        <f t="shared" si="19"/>
        <v>-166981.23342421424</v>
      </c>
      <c r="X45" s="737">
        <f t="shared" si="20"/>
        <v>128687384.7665758</v>
      </c>
      <c r="AA45" s="49"/>
      <c r="AD45"/>
      <c r="AM45"/>
    </row>
    <row r="46" spans="1:39">
      <c r="A46" s="99">
        <v>41</v>
      </c>
      <c r="B46" s="302" t="s">
        <v>133</v>
      </c>
      <c r="C46" s="311">
        <f>'Table 2_State Distrib and Adjs'!X47</f>
        <v>3525066</v>
      </c>
      <c r="D46" s="358"/>
      <c r="E46" s="358"/>
      <c r="F46" s="358">
        <f>-'Table 5C1A-Madison Prep'!O47-'Table 5C1A-Madison Prep'!R47</f>
        <v>0</v>
      </c>
      <c r="G46" s="358">
        <f>-'Table 5C1B-DArbonne'!O47-'Table 5C1B-DArbonne'!R47</f>
        <v>0</v>
      </c>
      <c r="H46" s="358">
        <f>-'Table 5C1C-Intl_VIBE'!O47-'Table 5C1C-Intl_VIBE'!R47</f>
        <v>0</v>
      </c>
      <c r="I46" s="358">
        <f>-'Table 5C1D-NOMMA'!O47-'Table 5C1D-NOMMA'!R47</f>
        <v>0</v>
      </c>
      <c r="J46" s="358">
        <f>-'Table 5C1E-LFNO'!Q47-'Table 5C1E-LFNO'!T47</f>
        <v>0</v>
      </c>
      <c r="K46" s="358">
        <f>-'Table 5C1F-Lake Charles Charter'!O47-'Table 5C1F-Lake Charles Charter'!R47</f>
        <v>0</v>
      </c>
      <c r="L46" s="358">
        <f>-'Table 5C1G-JS Clark Academy'!O47-'Table 5C1G-JS Clark Academy'!R47</f>
        <v>0</v>
      </c>
      <c r="M46" s="358">
        <f>-'Table 5C1H-Southwest LA Charter'!O47-'Table 5C1H-Southwest LA Charter'!R47</f>
        <v>0</v>
      </c>
      <c r="N46" s="358">
        <f>-'Table 5C1I-LA Key Academy'!O47+'Table 5C1I-LA Key Academy'!R47</f>
        <v>0</v>
      </c>
      <c r="O46" s="358">
        <f>-'Table 5C1J-Jefferson Chamber'!O47+'Table 5C1J-Jefferson Chamber'!R47</f>
        <v>0</v>
      </c>
      <c r="P46" s="358">
        <f>-'Table 5C1K-Tallulah Charter'!O47+'Table 5C1K-Tallulah Charter'!R47</f>
        <v>0</v>
      </c>
      <c r="Q46" s="358">
        <f>-'Table 5C1L-Northshore Charter'!O47+'Table 5C1L-Northshore Charter'!R47</f>
        <v>0</v>
      </c>
      <c r="R46" s="358">
        <f>-'Table 5C1M-EBR Charter'!O47+'Table 5C1M-EBR Charter'!R47</f>
        <v>0</v>
      </c>
      <c r="S46" s="358">
        <f>-'Table 5C1N-Delta Charter'!O47+'Table 5C1N-Delta Charter'!R47</f>
        <v>0</v>
      </c>
      <c r="T46" s="358">
        <f>-'Table 5C2 - LA Virtual Admy'!P44-'Table 5C2 - LA Virtual Admy'!S44</f>
        <v>-8178.3</v>
      </c>
      <c r="U46" s="358">
        <f>-'Table 5C3 - LA Connections EBR'!P44-'Table 5C3 - LA Connections EBR'!S44</f>
        <v>-8178.3</v>
      </c>
      <c r="V46" s="358">
        <f>-'Table 5E_OJJ'!P47-'Table 5E_OJJ'!Q47</f>
        <v>0</v>
      </c>
      <c r="W46" s="358">
        <f t="shared" si="19"/>
        <v>-16356.6</v>
      </c>
      <c r="X46" s="736">
        <f t="shared" si="20"/>
        <v>3508709.4000000004</v>
      </c>
      <c r="AA46" s="49"/>
      <c r="AD46"/>
      <c r="AM46"/>
    </row>
    <row r="47" spans="1:39">
      <c r="A47" s="99">
        <v>42</v>
      </c>
      <c r="B47" s="302" t="s">
        <v>134</v>
      </c>
      <c r="C47" s="311">
        <f>'Table 2_State Distrib and Adjs'!X48</f>
        <v>19262706</v>
      </c>
      <c r="D47" s="358"/>
      <c r="E47" s="358"/>
      <c r="F47" s="358">
        <f>-'Table 5C1A-Madison Prep'!O48-'Table 5C1A-Madison Prep'!R48</f>
        <v>0</v>
      </c>
      <c r="G47" s="358">
        <f>-'Table 5C1B-DArbonne'!O48-'Table 5C1B-DArbonne'!R48</f>
        <v>0</v>
      </c>
      <c r="H47" s="358">
        <f>-'Table 5C1C-Intl_VIBE'!O48-'Table 5C1C-Intl_VIBE'!R48</f>
        <v>0</v>
      </c>
      <c r="I47" s="358">
        <f>-'Table 5C1D-NOMMA'!O48-'Table 5C1D-NOMMA'!R48</f>
        <v>0</v>
      </c>
      <c r="J47" s="358">
        <f>-'Table 5C1E-LFNO'!Q48-'Table 5C1E-LFNO'!T48</f>
        <v>0</v>
      </c>
      <c r="K47" s="358">
        <f>-'Table 5C1F-Lake Charles Charter'!O48-'Table 5C1F-Lake Charles Charter'!R48</f>
        <v>0</v>
      </c>
      <c r="L47" s="358">
        <f>-'Table 5C1G-JS Clark Academy'!O48-'Table 5C1G-JS Clark Academy'!R48</f>
        <v>0</v>
      </c>
      <c r="M47" s="358">
        <f>-'Table 5C1H-Southwest LA Charter'!O48-'Table 5C1H-Southwest LA Charter'!R48</f>
        <v>0</v>
      </c>
      <c r="N47" s="358">
        <f>-'Table 5C1I-LA Key Academy'!O48+'Table 5C1I-LA Key Academy'!R48</f>
        <v>0</v>
      </c>
      <c r="O47" s="358">
        <f>-'Table 5C1J-Jefferson Chamber'!O48+'Table 5C1J-Jefferson Chamber'!R48</f>
        <v>0</v>
      </c>
      <c r="P47" s="358">
        <f>-'Table 5C1K-Tallulah Charter'!O48+'Table 5C1K-Tallulah Charter'!R48</f>
        <v>0</v>
      </c>
      <c r="Q47" s="358">
        <f>-'Table 5C1L-Northshore Charter'!O48+'Table 5C1L-Northshore Charter'!R48</f>
        <v>0</v>
      </c>
      <c r="R47" s="358">
        <f>-'Table 5C1M-EBR Charter'!O48+'Table 5C1M-EBR Charter'!R48</f>
        <v>0</v>
      </c>
      <c r="S47" s="358">
        <f>-'Table 5C1N-Delta Charter'!O48+'Table 5C1N-Delta Charter'!R48</f>
        <v>0</v>
      </c>
      <c r="T47" s="358">
        <f>-'Table 5C2 - LA Virtual Admy'!P45-'Table 5C2 - LA Virtual Admy'!S45</f>
        <v>-18062.100000000002</v>
      </c>
      <c r="U47" s="358">
        <f>-'Table 5C3 - LA Connections EBR'!P45-'Table 5C3 - LA Connections EBR'!S45</f>
        <v>-12901.5</v>
      </c>
      <c r="V47" s="358">
        <f>-'Table 5E_OJJ'!P48-'Table 5E_OJJ'!Q48</f>
        <v>-1897.6538980038745</v>
      </c>
      <c r="W47" s="358">
        <f t="shared" si="19"/>
        <v>-32861.253898003873</v>
      </c>
      <c r="X47" s="736">
        <f t="shared" si="20"/>
        <v>19229844.746101994</v>
      </c>
      <c r="AA47" s="49"/>
      <c r="AD47"/>
      <c r="AM47"/>
    </row>
    <row r="48" spans="1:39">
      <c r="A48" s="99">
        <v>43</v>
      </c>
      <c r="B48" s="302" t="s">
        <v>135</v>
      </c>
      <c r="C48" s="311">
        <f>'Table 2_State Distrib and Adjs'!X49</f>
        <v>21228023</v>
      </c>
      <c r="D48" s="358"/>
      <c r="E48" s="358"/>
      <c r="F48" s="358">
        <f>-'Table 5C1A-Madison Prep'!O49-'Table 5C1A-Madison Prep'!R49</f>
        <v>0</v>
      </c>
      <c r="G48" s="358">
        <f>-'Table 5C1B-DArbonne'!O49-'Table 5C1B-DArbonne'!R49</f>
        <v>0</v>
      </c>
      <c r="H48" s="358">
        <f>-'Table 5C1C-Intl_VIBE'!O49-'Table 5C1C-Intl_VIBE'!R49</f>
        <v>0</v>
      </c>
      <c r="I48" s="358">
        <f>-'Table 5C1D-NOMMA'!O49-'Table 5C1D-NOMMA'!R49</f>
        <v>0</v>
      </c>
      <c r="J48" s="358">
        <f>-'Table 5C1E-LFNO'!Q49-'Table 5C1E-LFNO'!T49</f>
        <v>0</v>
      </c>
      <c r="K48" s="358">
        <f>-'Table 5C1F-Lake Charles Charter'!O49-'Table 5C1F-Lake Charles Charter'!R49</f>
        <v>0</v>
      </c>
      <c r="L48" s="358">
        <f>-'Table 5C1G-JS Clark Academy'!O49-'Table 5C1G-JS Clark Academy'!R49</f>
        <v>0</v>
      </c>
      <c r="M48" s="358">
        <f>-'Table 5C1H-Southwest LA Charter'!O49-'Table 5C1H-Southwest LA Charter'!R49</f>
        <v>0</v>
      </c>
      <c r="N48" s="358">
        <f>-'Table 5C1I-LA Key Academy'!O49+'Table 5C1I-LA Key Academy'!R49</f>
        <v>0</v>
      </c>
      <c r="O48" s="358">
        <f>-'Table 5C1J-Jefferson Chamber'!O49+'Table 5C1J-Jefferson Chamber'!R49</f>
        <v>0</v>
      </c>
      <c r="P48" s="358">
        <f>-'Table 5C1K-Tallulah Charter'!O49+'Table 5C1K-Tallulah Charter'!R49</f>
        <v>0</v>
      </c>
      <c r="Q48" s="358">
        <f>-'Table 5C1L-Northshore Charter'!O49+'Table 5C1L-Northshore Charter'!R49</f>
        <v>0</v>
      </c>
      <c r="R48" s="358">
        <f>-'Table 5C1M-EBR Charter'!O49+'Table 5C1M-EBR Charter'!R49</f>
        <v>0</v>
      </c>
      <c r="S48" s="358">
        <f>-'Table 5C1N-Delta Charter'!O49+'Table 5C1N-Delta Charter'!R49</f>
        <v>0</v>
      </c>
      <c r="T48" s="358">
        <f>-'Table 5C2 - LA Virtual Admy'!P46-'Table 5C2 - LA Virtual Admy'!S46</f>
        <v>-26557.200000000004</v>
      </c>
      <c r="U48" s="358">
        <f>-'Table 5C3 - LA Connections EBR'!P46-'Table 5C3 - LA Connections EBR'!S46</f>
        <v>-19369.800000000003</v>
      </c>
      <c r="V48" s="358">
        <f>-'Table 5E_OJJ'!P49-'Table 5E_OJJ'!Q49</f>
        <v>-8895.190495613735</v>
      </c>
      <c r="W48" s="358">
        <f t="shared" si="19"/>
        <v>-54822.190495613744</v>
      </c>
      <c r="X48" s="736">
        <f t="shared" si="20"/>
        <v>21173200.809504386</v>
      </c>
      <c r="AA48" s="49"/>
      <c r="AD48"/>
      <c r="AM48"/>
    </row>
    <row r="49" spans="1:39">
      <c r="A49" s="99">
        <v>44</v>
      </c>
      <c r="B49" s="302" t="s">
        <v>136</v>
      </c>
      <c r="C49" s="311">
        <f>'Table 2_State Distrib and Adjs'!X50</f>
        <v>34083428</v>
      </c>
      <c r="D49" s="358"/>
      <c r="E49" s="358"/>
      <c r="F49" s="358">
        <f>-'Table 5C1A-Madison Prep'!O50-'Table 5C1A-Madison Prep'!R50</f>
        <v>0</v>
      </c>
      <c r="G49" s="358">
        <f>-'Table 5C1B-DArbonne'!O50-'Table 5C1B-DArbonne'!R50</f>
        <v>0</v>
      </c>
      <c r="H49" s="358">
        <f>-'Table 5C1C-Intl_VIBE'!O50-'Table 5C1C-Intl_VIBE'!R50</f>
        <v>-18244</v>
      </c>
      <c r="I49" s="358">
        <f>-'Table 5C1D-NOMMA'!O50-'Table 5C1D-NOMMA'!R50</f>
        <v>-9122</v>
      </c>
      <c r="J49" s="358">
        <f>-'Table 5C1E-LFNO'!Q50-'Table 5C1E-LFNO'!T50</f>
        <v>-9122</v>
      </c>
      <c r="K49" s="358">
        <f>-'Table 5C1F-Lake Charles Charter'!O50-'Table 5C1F-Lake Charles Charter'!R50</f>
        <v>0</v>
      </c>
      <c r="L49" s="358">
        <f>-'Table 5C1G-JS Clark Academy'!O50-'Table 5C1G-JS Clark Academy'!R50</f>
        <v>0</v>
      </c>
      <c r="M49" s="358">
        <f>-'Table 5C1H-Southwest LA Charter'!O50-'Table 5C1H-Southwest LA Charter'!R50</f>
        <v>0</v>
      </c>
      <c r="N49" s="358">
        <f>-'Table 5C1I-LA Key Academy'!O50+'Table 5C1I-LA Key Academy'!R50</f>
        <v>0</v>
      </c>
      <c r="O49" s="358">
        <f>-'Table 5C1J-Jefferson Chamber'!O50+'Table 5C1J-Jefferson Chamber'!R50</f>
        <v>-13683</v>
      </c>
      <c r="P49" s="358">
        <f>-'Table 5C1K-Tallulah Charter'!O50+'Table 5C1K-Tallulah Charter'!R50</f>
        <v>0</v>
      </c>
      <c r="Q49" s="358">
        <f>-'Table 5C1L-Northshore Charter'!O50+'Table 5C1L-Northshore Charter'!R50</f>
        <v>0</v>
      </c>
      <c r="R49" s="358">
        <f>-'Table 5C1M-EBR Charter'!O50+'Table 5C1M-EBR Charter'!R50</f>
        <v>0</v>
      </c>
      <c r="S49" s="358">
        <f>-'Table 5C1N-Delta Charter'!O50+'Table 5C1N-Delta Charter'!R50</f>
        <v>0</v>
      </c>
      <c r="T49" s="358">
        <f>-'Table 5C2 - LA Virtual Admy'!P47-'Table 5C2 - LA Virtual Admy'!S47</f>
        <v>-14642.550000000001</v>
      </c>
      <c r="U49" s="358">
        <f>-'Table 5C3 - LA Connections EBR'!P47-'Table 5C3 - LA Connections EBR'!S47</f>
        <v>-36944.100000000006</v>
      </c>
      <c r="V49" s="358">
        <f>-'Table 5E_OJJ'!P50-'Table 5E_OJJ'!Q50</f>
        <v>-457.729023413498</v>
      </c>
      <c r="W49" s="358">
        <f t="shared" si="19"/>
        <v>-102215.37902341351</v>
      </c>
      <c r="X49" s="736">
        <f t="shared" si="20"/>
        <v>33981212.62097659</v>
      </c>
      <c r="AA49" s="49"/>
      <c r="AD49"/>
      <c r="AM49"/>
    </row>
    <row r="50" spans="1:39">
      <c r="A50" s="100">
        <v>45</v>
      </c>
      <c r="B50" s="303" t="s">
        <v>137</v>
      </c>
      <c r="C50" s="319">
        <f>'Table 2_State Distrib and Adjs'!X51</f>
        <v>27855752</v>
      </c>
      <c r="D50" s="359"/>
      <c r="E50" s="359"/>
      <c r="F50" s="359">
        <f>-'Table 5C1A-Madison Prep'!O51-'Table 5C1A-Madison Prep'!R51</f>
        <v>0</v>
      </c>
      <c r="G50" s="359">
        <f>-'Table 5C1B-DArbonne'!O51-'Table 5C1B-DArbonne'!R51</f>
        <v>0</v>
      </c>
      <c r="H50" s="359">
        <f>-'Table 5C1C-Intl_VIBE'!O51-'Table 5C1C-Intl_VIBE'!R51</f>
        <v>-22574</v>
      </c>
      <c r="I50" s="359">
        <f>-'Table 5C1D-NOMMA'!O51-'Table 5C1D-NOMMA'!R51</f>
        <v>0</v>
      </c>
      <c r="J50" s="359">
        <f>-'Table 5C1E-LFNO'!Q51-'Table 5C1E-LFNO'!T51</f>
        <v>-11287</v>
      </c>
      <c r="K50" s="359">
        <f>-'Table 5C1F-Lake Charles Charter'!O51-'Table 5C1F-Lake Charles Charter'!R51</f>
        <v>0</v>
      </c>
      <c r="L50" s="359">
        <f>-'Table 5C1G-JS Clark Academy'!O51-'Table 5C1G-JS Clark Academy'!R51</f>
        <v>0</v>
      </c>
      <c r="M50" s="359">
        <f>-'Table 5C1H-Southwest LA Charter'!O51-'Table 5C1H-Southwest LA Charter'!R51</f>
        <v>0</v>
      </c>
      <c r="N50" s="359">
        <f>-'Table 5C1I-LA Key Academy'!O51+'Table 5C1I-LA Key Academy'!R51</f>
        <v>0</v>
      </c>
      <c r="O50" s="359">
        <f>-'Table 5C1J-Jefferson Chamber'!O51+'Table 5C1J-Jefferson Chamber'!R51</f>
        <v>-22574</v>
      </c>
      <c r="P50" s="359">
        <f>-'Table 5C1K-Tallulah Charter'!O51+'Table 5C1K-Tallulah Charter'!R51</f>
        <v>0</v>
      </c>
      <c r="Q50" s="359">
        <f>-'Table 5C1L-Northshore Charter'!O51+'Table 5C1L-Northshore Charter'!R51</f>
        <v>0</v>
      </c>
      <c r="R50" s="359">
        <f>-'Table 5C1M-EBR Charter'!O51+'Table 5C1M-EBR Charter'!R51</f>
        <v>0</v>
      </c>
      <c r="S50" s="359">
        <f>-'Table 5C1N-Delta Charter'!O51+'Table 5C1N-Delta Charter'!R51</f>
        <v>0</v>
      </c>
      <c r="T50" s="359">
        <f>-'Table 5C2 - LA Virtual Admy'!P48-'Table 5C2 - LA Virtual Admy'!S48</f>
        <v>-20316.600000000002</v>
      </c>
      <c r="U50" s="359">
        <f>-'Table 5C3 - LA Connections EBR'!P48-'Table 5C3 - LA Connections EBR'!S48</f>
        <v>-193007.7</v>
      </c>
      <c r="V50" s="359">
        <f>-'Table 5E_OJJ'!P51-'Table 5E_OJJ'!Q51</f>
        <v>-11254.696516169839</v>
      </c>
      <c r="W50" s="359">
        <f t="shared" si="19"/>
        <v>-281013.99651616986</v>
      </c>
      <c r="X50" s="737">
        <f t="shared" si="20"/>
        <v>27574738.003483828</v>
      </c>
      <c r="AA50" s="49"/>
      <c r="AD50"/>
      <c r="AM50"/>
    </row>
    <row r="51" spans="1:39">
      <c r="A51" s="99">
        <v>46</v>
      </c>
      <c r="B51" s="302" t="s">
        <v>138</v>
      </c>
      <c r="C51" s="311">
        <f>'Table 2_State Distrib and Adjs'!X52</f>
        <v>4672784</v>
      </c>
      <c r="D51" s="358">
        <f>-'Table 5B2_RSD_LA'!Q35-'Table 5B2_RSD_LA'!V35</f>
        <v>-503093</v>
      </c>
      <c r="E51" s="358"/>
      <c r="F51" s="358">
        <f>-'Table 5C1A-Madison Prep'!O52-'Table 5C1A-Madison Prep'!R52</f>
        <v>0</v>
      </c>
      <c r="G51" s="358">
        <f>-'Table 5C1B-DArbonne'!O52-'Table 5C1B-DArbonne'!R52</f>
        <v>0</v>
      </c>
      <c r="H51" s="358">
        <f>-'Table 5C1C-Intl_VIBE'!O52-'Table 5C1C-Intl_VIBE'!R52</f>
        <v>0</v>
      </c>
      <c r="I51" s="358">
        <f>-'Table 5C1D-NOMMA'!O52-'Table 5C1D-NOMMA'!R52</f>
        <v>0</v>
      </c>
      <c r="J51" s="358">
        <f>-'Table 5C1E-LFNO'!Q52-'Table 5C1E-LFNO'!T52</f>
        <v>0</v>
      </c>
      <c r="K51" s="358">
        <f>-'Table 5C1F-Lake Charles Charter'!O52-'Table 5C1F-Lake Charles Charter'!R52</f>
        <v>0</v>
      </c>
      <c r="L51" s="358">
        <f>-'Table 5C1G-JS Clark Academy'!O52-'Table 5C1G-JS Clark Academy'!R52</f>
        <v>0</v>
      </c>
      <c r="M51" s="358">
        <f>-'Table 5C1H-Southwest LA Charter'!O52-'Table 5C1H-Southwest LA Charter'!R52</f>
        <v>0</v>
      </c>
      <c r="N51" s="358">
        <f>-'Table 5C1I-LA Key Academy'!O52+'Table 5C1I-LA Key Academy'!R52</f>
        <v>0</v>
      </c>
      <c r="O51" s="358">
        <f>-'Table 5C1J-Jefferson Chamber'!O52+'Table 5C1J-Jefferson Chamber'!R52</f>
        <v>0</v>
      </c>
      <c r="P51" s="358">
        <f>-'Table 5C1K-Tallulah Charter'!O52+'Table 5C1K-Tallulah Charter'!R52</f>
        <v>0</v>
      </c>
      <c r="Q51" s="358">
        <f>-'Table 5C1L-Northshore Charter'!O52+'Table 5C1L-Northshore Charter'!R52</f>
        <v>0</v>
      </c>
      <c r="R51" s="358">
        <f>-'Table 5C1M-EBR Charter'!O52+'Table 5C1M-EBR Charter'!R52</f>
        <v>0</v>
      </c>
      <c r="S51" s="358">
        <f>-'Table 5C1N-Delta Charter'!O52+'Table 5C1N-Delta Charter'!R52</f>
        <v>0</v>
      </c>
      <c r="T51" s="358">
        <f>-'Table 5C2 - LA Virtual Admy'!P49-'Table 5C2 - LA Virtual Admy'!S49</f>
        <v>-16620.3</v>
      </c>
      <c r="U51" s="358">
        <f>-'Table 5C3 - LA Connections EBR'!P49-'Table 5C3 - LA Connections EBR'!S49</f>
        <v>-9675</v>
      </c>
      <c r="V51" s="358">
        <f>-'Table 5E_OJJ'!P52-'Table 5E_OJJ'!Q52</f>
        <v>0</v>
      </c>
      <c r="W51" s="358">
        <f t="shared" si="19"/>
        <v>-529388.30000000005</v>
      </c>
      <c r="X51" s="736">
        <f t="shared" si="20"/>
        <v>4143395.7</v>
      </c>
      <c r="AA51" s="49"/>
      <c r="AD51"/>
      <c r="AM51"/>
    </row>
    <row r="52" spans="1:39">
      <c r="A52" s="99">
        <v>47</v>
      </c>
      <c r="B52" s="302" t="s">
        <v>139</v>
      </c>
      <c r="C52" s="311">
        <f>'Table 2_State Distrib and Adjs'!X53</f>
        <v>13175689</v>
      </c>
      <c r="D52" s="358"/>
      <c r="E52" s="358"/>
      <c r="F52" s="358">
        <f>-'Table 5C1A-Madison Prep'!O53-'Table 5C1A-Madison Prep'!R53</f>
        <v>0</v>
      </c>
      <c r="G52" s="358">
        <f>-'Table 5C1B-DArbonne'!O53-'Table 5C1B-DArbonne'!R53</f>
        <v>0</v>
      </c>
      <c r="H52" s="358">
        <f>-'Table 5C1C-Intl_VIBE'!O53-'Table 5C1C-Intl_VIBE'!R53</f>
        <v>0</v>
      </c>
      <c r="I52" s="358">
        <f>-'Table 5C1D-NOMMA'!O53-'Table 5C1D-NOMMA'!R53</f>
        <v>0</v>
      </c>
      <c r="J52" s="358">
        <f>-'Table 5C1E-LFNO'!Q53-'Table 5C1E-LFNO'!T53</f>
        <v>0</v>
      </c>
      <c r="K52" s="358">
        <f>-'Table 5C1F-Lake Charles Charter'!O53-'Table 5C1F-Lake Charles Charter'!R53</f>
        <v>0</v>
      </c>
      <c r="L52" s="358">
        <f>-'Table 5C1G-JS Clark Academy'!O53-'Table 5C1G-JS Clark Academy'!R53</f>
        <v>0</v>
      </c>
      <c r="M52" s="358">
        <f>-'Table 5C1H-Southwest LA Charter'!O53-'Table 5C1H-Southwest LA Charter'!R53</f>
        <v>0</v>
      </c>
      <c r="N52" s="358">
        <f>-'Table 5C1I-LA Key Academy'!O53+'Table 5C1I-LA Key Academy'!R53</f>
        <v>0</v>
      </c>
      <c r="O52" s="358">
        <f>-'Table 5C1J-Jefferson Chamber'!O53+'Table 5C1J-Jefferson Chamber'!R53</f>
        <v>0</v>
      </c>
      <c r="P52" s="358">
        <f>-'Table 5C1K-Tallulah Charter'!O53+'Table 5C1K-Tallulah Charter'!R53</f>
        <v>0</v>
      </c>
      <c r="Q52" s="358">
        <f>-'Table 5C1L-Northshore Charter'!O53+'Table 5C1L-Northshore Charter'!R53</f>
        <v>0</v>
      </c>
      <c r="R52" s="358">
        <f>-'Table 5C1M-EBR Charter'!O53+'Table 5C1M-EBR Charter'!R53</f>
        <v>0</v>
      </c>
      <c r="S52" s="358">
        <f>-'Table 5C1N-Delta Charter'!O53+'Table 5C1N-Delta Charter'!R53</f>
        <v>0</v>
      </c>
      <c r="T52" s="358">
        <f>-'Table 5C2 - LA Virtual Admy'!P50-'Table 5C2 - LA Virtual Admy'!S50</f>
        <v>-15124.5</v>
      </c>
      <c r="U52" s="358">
        <f>-'Table 5C3 - LA Connections EBR'!P50-'Table 5C3 - LA Connections EBR'!S50</f>
        <v>-11952</v>
      </c>
      <c r="V52" s="358">
        <f>-'Table 5E_OJJ'!P53-'Table 5E_OJJ'!Q53</f>
        <v>0</v>
      </c>
      <c r="W52" s="358">
        <f t="shared" si="19"/>
        <v>-27076.5</v>
      </c>
      <c r="X52" s="736">
        <f t="shared" si="20"/>
        <v>13148612.5</v>
      </c>
      <c r="AA52" s="49"/>
      <c r="AD52"/>
      <c r="AM52"/>
    </row>
    <row r="53" spans="1:39">
      <c r="A53" s="99">
        <v>48</v>
      </c>
      <c r="B53" s="302" t="s">
        <v>197</v>
      </c>
      <c r="C53" s="311">
        <f>'Table 2_State Distrib and Adjs'!X54</f>
        <v>29594008</v>
      </c>
      <c r="D53" s="358"/>
      <c r="E53" s="358"/>
      <c r="F53" s="358">
        <f>-'Table 5C1A-Madison Prep'!O54-'Table 5C1A-Madison Prep'!R54</f>
        <v>0</v>
      </c>
      <c r="G53" s="358">
        <f>-'Table 5C1B-DArbonne'!O54-'Table 5C1B-DArbonne'!R54</f>
        <v>0</v>
      </c>
      <c r="H53" s="358">
        <f>-'Table 5C1C-Intl_VIBE'!O54-'Table 5C1C-Intl_VIBE'!R54</f>
        <v>-12906</v>
      </c>
      <c r="I53" s="358">
        <f>-'Table 5C1D-NOMMA'!O54-'Table 5C1D-NOMMA'!R54</f>
        <v>0</v>
      </c>
      <c r="J53" s="358">
        <f>-'Table 5C1E-LFNO'!Q54-'Table 5C1E-LFNO'!T54</f>
        <v>0</v>
      </c>
      <c r="K53" s="358">
        <f>-'Table 5C1F-Lake Charles Charter'!O54-'Table 5C1F-Lake Charles Charter'!R54</f>
        <v>0</v>
      </c>
      <c r="L53" s="358">
        <f>-'Table 5C1G-JS Clark Academy'!O54-'Table 5C1G-JS Clark Academy'!R54</f>
        <v>0</v>
      </c>
      <c r="M53" s="358">
        <f>-'Table 5C1H-Southwest LA Charter'!O54-'Table 5C1H-Southwest LA Charter'!R54</f>
        <v>0</v>
      </c>
      <c r="N53" s="358">
        <f>-'Table 5C1I-LA Key Academy'!O54+'Table 5C1I-LA Key Academy'!R54</f>
        <v>0</v>
      </c>
      <c r="O53" s="358">
        <f>-'Table 5C1J-Jefferson Chamber'!O54+'Table 5C1J-Jefferson Chamber'!R54</f>
        <v>0</v>
      </c>
      <c r="P53" s="358">
        <f>-'Table 5C1K-Tallulah Charter'!O54+'Table 5C1K-Tallulah Charter'!R54</f>
        <v>0</v>
      </c>
      <c r="Q53" s="358">
        <f>-'Table 5C1L-Northshore Charter'!O54+'Table 5C1L-Northshore Charter'!R54</f>
        <v>0</v>
      </c>
      <c r="R53" s="358">
        <f>-'Table 5C1M-EBR Charter'!O54+'Table 5C1M-EBR Charter'!R54</f>
        <v>0</v>
      </c>
      <c r="S53" s="358">
        <f>-'Table 5C1N-Delta Charter'!O54+'Table 5C1N-Delta Charter'!R54</f>
        <v>0</v>
      </c>
      <c r="T53" s="358">
        <f>-'Table 5C2 - LA Virtual Admy'!P51-'Table 5C2 - LA Virtual Admy'!S51</f>
        <v>-175356.9</v>
      </c>
      <c r="U53" s="358">
        <f>-'Table 5C3 - LA Connections EBR'!P51-'Table 5C3 - LA Connections EBR'!S51</f>
        <v>-104538.59999999999</v>
      </c>
      <c r="V53" s="358">
        <f>-'Table 5E_OJJ'!P54-'Table 5E_OJJ'!Q54</f>
        <v>-4088.9059482420889</v>
      </c>
      <c r="W53" s="358">
        <f t="shared" si="19"/>
        <v>-296890.40594824211</v>
      </c>
      <c r="X53" s="736">
        <f t="shared" si="20"/>
        <v>29297117.59405176</v>
      </c>
      <c r="AA53" s="49"/>
      <c r="AD53"/>
      <c r="AM53"/>
    </row>
    <row r="54" spans="1:39">
      <c r="A54" s="99">
        <v>49</v>
      </c>
      <c r="B54" s="302" t="s">
        <v>140</v>
      </c>
      <c r="C54" s="311">
        <f>'Table 2_State Distrib and Adjs'!X55</f>
        <v>77172847</v>
      </c>
      <c r="D54" s="358"/>
      <c r="E54" s="358"/>
      <c r="F54" s="358">
        <f>-'Table 5C1A-Madison Prep'!O55-'Table 5C1A-Madison Prep'!R55</f>
        <v>0</v>
      </c>
      <c r="G54" s="358">
        <f>-'Table 5C1B-DArbonne'!O55-'Table 5C1B-DArbonne'!R55</f>
        <v>0</v>
      </c>
      <c r="H54" s="358">
        <f>-'Table 5C1C-Intl_VIBE'!O55-'Table 5C1C-Intl_VIBE'!R55</f>
        <v>0</v>
      </c>
      <c r="I54" s="358">
        <f>-'Table 5C1D-NOMMA'!O55-'Table 5C1D-NOMMA'!R55</f>
        <v>0</v>
      </c>
      <c r="J54" s="358">
        <f>-'Table 5C1E-LFNO'!Q55-'Table 5C1E-LFNO'!T55</f>
        <v>0</v>
      </c>
      <c r="K54" s="358">
        <f>-'Table 5C1F-Lake Charles Charter'!O55-'Table 5C1F-Lake Charles Charter'!R55</f>
        <v>0</v>
      </c>
      <c r="L54" s="358">
        <f>-'Table 5C1G-JS Clark Academy'!O55-'Table 5C1G-JS Clark Academy'!R55</f>
        <v>-384274</v>
      </c>
      <c r="M54" s="358">
        <f>-'Table 5C1H-Southwest LA Charter'!O55-'Table 5C1H-Southwest LA Charter'!R55</f>
        <v>0</v>
      </c>
      <c r="N54" s="358">
        <f>-'Table 5C1I-LA Key Academy'!O55+'Table 5C1I-LA Key Academy'!R55</f>
        <v>0</v>
      </c>
      <c r="O54" s="358">
        <f>-'Table 5C1J-Jefferson Chamber'!O55+'Table 5C1J-Jefferson Chamber'!R55</f>
        <v>0</v>
      </c>
      <c r="P54" s="358">
        <f>-'Table 5C1K-Tallulah Charter'!O55+'Table 5C1K-Tallulah Charter'!R55</f>
        <v>0</v>
      </c>
      <c r="Q54" s="358">
        <f>-'Table 5C1L-Northshore Charter'!O55+'Table 5C1L-Northshore Charter'!R55</f>
        <v>0</v>
      </c>
      <c r="R54" s="358">
        <f>-'Table 5C1M-EBR Charter'!O55+'Table 5C1M-EBR Charter'!R55</f>
        <v>0</v>
      </c>
      <c r="S54" s="358">
        <f>-'Table 5C1N-Delta Charter'!O55+'Table 5C1N-Delta Charter'!R55</f>
        <v>0</v>
      </c>
      <c r="T54" s="358">
        <f>-'Table 5C2 - LA Virtual Admy'!P52-'Table 5C2 - LA Virtual Admy'!S52</f>
        <v>-97745.85</v>
      </c>
      <c r="U54" s="358">
        <f>-'Table 5C3 - LA Connections EBR'!P52-'Table 5C3 - LA Connections EBR'!S52</f>
        <v>-65865.600000000006</v>
      </c>
      <c r="V54" s="358">
        <f>-'Table 5E_OJJ'!P55-'Table 5E_OJJ'!Q55</f>
        <v>-16701.422600139889</v>
      </c>
      <c r="W54" s="358">
        <f t="shared" si="19"/>
        <v>-564586.87260013982</v>
      </c>
      <c r="X54" s="736">
        <f t="shared" si="20"/>
        <v>76608260.127399877</v>
      </c>
      <c r="AA54" s="49"/>
      <c r="AD54"/>
      <c r="AM54"/>
    </row>
    <row r="55" spans="1:39">
      <c r="A55" s="100">
        <v>50</v>
      </c>
      <c r="B55" s="303" t="s">
        <v>141</v>
      </c>
      <c r="C55" s="319">
        <f>'Table 2_State Distrib and Adjs'!X56</f>
        <v>44618321</v>
      </c>
      <c r="D55" s="359"/>
      <c r="E55" s="359"/>
      <c r="F55" s="359">
        <f>-'Table 5C1A-Madison Prep'!O56-'Table 5C1A-Madison Prep'!R56</f>
        <v>0</v>
      </c>
      <c r="G55" s="359">
        <f>-'Table 5C1B-DArbonne'!O56-'Table 5C1B-DArbonne'!R56</f>
        <v>0</v>
      </c>
      <c r="H55" s="359">
        <f>-'Table 5C1C-Intl_VIBE'!O56-'Table 5C1C-Intl_VIBE'!R56</f>
        <v>0</v>
      </c>
      <c r="I55" s="359">
        <f>-'Table 5C1D-NOMMA'!O56-'Table 5C1D-NOMMA'!R56</f>
        <v>0</v>
      </c>
      <c r="J55" s="359">
        <f>-'Table 5C1E-LFNO'!Q56-'Table 5C1E-LFNO'!T56</f>
        <v>0</v>
      </c>
      <c r="K55" s="359">
        <f>-'Table 5C1F-Lake Charles Charter'!O56-'Table 5C1F-Lake Charles Charter'!R56</f>
        <v>0</v>
      </c>
      <c r="L55" s="359">
        <f>-'Table 5C1G-JS Clark Academy'!O56-'Table 5C1G-JS Clark Academy'!R56</f>
        <v>0</v>
      </c>
      <c r="M55" s="359">
        <f>-'Table 5C1H-Southwest LA Charter'!O56-'Table 5C1H-Southwest LA Charter'!R56</f>
        <v>0</v>
      </c>
      <c r="N55" s="359">
        <f>-'Table 5C1I-LA Key Academy'!O56+'Table 5C1I-LA Key Academy'!R56</f>
        <v>0</v>
      </c>
      <c r="O55" s="359">
        <f>-'Table 5C1J-Jefferson Chamber'!O56+'Table 5C1J-Jefferson Chamber'!R56</f>
        <v>0</v>
      </c>
      <c r="P55" s="359">
        <f>-'Table 5C1K-Tallulah Charter'!O56+'Table 5C1K-Tallulah Charter'!R56</f>
        <v>0</v>
      </c>
      <c r="Q55" s="359">
        <f>-'Table 5C1L-Northshore Charter'!O56+'Table 5C1L-Northshore Charter'!R56</f>
        <v>0</v>
      </c>
      <c r="R55" s="359">
        <f>-'Table 5C1M-EBR Charter'!O56+'Table 5C1M-EBR Charter'!R56</f>
        <v>0</v>
      </c>
      <c r="S55" s="359">
        <f>-'Table 5C1N-Delta Charter'!O56+'Table 5C1N-Delta Charter'!R56</f>
        <v>0</v>
      </c>
      <c r="T55" s="359">
        <f>-'Table 5C2 - LA Virtual Admy'!P53-'Table 5C2 - LA Virtual Admy'!S53</f>
        <v>-21788.1</v>
      </c>
      <c r="U55" s="359">
        <f>-'Table 5C3 - LA Connections EBR'!P53-'Table 5C3 - LA Connections EBR'!S53</f>
        <v>-27729.9</v>
      </c>
      <c r="V55" s="359">
        <f>-'Table 5E_OJJ'!P56-'Table 5E_OJJ'!Q56</f>
        <v>-10849.430564391481</v>
      </c>
      <c r="W55" s="359">
        <f t="shared" si="19"/>
        <v>-60367.430564391485</v>
      </c>
      <c r="X55" s="737">
        <f t="shared" si="20"/>
        <v>44557953.569435611</v>
      </c>
      <c r="AA55" s="49"/>
      <c r="AD55"/>
      <c r="AM55"/>
    </row>
    <row r="56" spans="1:39">
      <c r="A56" s="99">
        <v>51</v>
      </c>
      <c r="B56" s="302" t="s">
        <v>142</v>
      </c>
      <c r="C56" s="311">
        <f>'Table 2_State Distrib and Adjs'!X57</f>
        <v>44528615</v>
      </c>
      <c r="D56" s="358"/>
      <c r="E56" s="358"/>
      <c r="F56" s="358">
        <f>-'Table 5C1A-Madison Prep'!O57-'Table 5C1A-Madison Prep'!R57</f>
        <v>0</v>
      </c>
      <c r="G56" s="358">
        <f>-'Table 5C1B-DArbonne'!O57-'Table 5C1B-DArbonne'!R57</f>
        <v>0</v>
      </c>
      <c r="H56" s="358">
        <f>-'Table 5C1C-Intl_VIBE'!O57-'Table 5C1C-Intl_VIBE'!R57</f>
        <v>0</v>
      </c>
      <c r="I56" s="358">
        <f>-'Table 5C1D-NOMMA'!O57-'Table 5C1D-NOMMA'!R57</f>
        <v>0</v>
      </c>
      <c r="J56" s="358">
        <f>-'Table 5C1E-LFNO'!Q57-'Table 5C1E-LFNO'!T57</f>
        <v>0</v>
      </c>
      <c r="K56" s="358">
        <f>-'Table 5C1F-Lake Charles Charter'!O57-'Table 5C1F-Lake Charles Charter'!R57</f>
        <v>0</v>
      </c>
      <c r="L56" s="358">
        <f>-'Table 5C1G-JS Clark Academy'!O57-'Table 5C1G-JS Clark Academy'!R57</f>
        <v>0</v>
      </c>
      <c r="M56" s="358">
        <f>-'Table 5C1H-Southwest LA Charter'!O57-'Table 5C1H-Southwest LA Charter'!R57</f>
        <v>0</v>
      </c>
      <c r="N56" s="358">
        <f>-'Table 5C1I-LA Key Academy'!O57+'Table 5C1I-LA Key Academy'!R57</f>
        <v>0</v>
      </c>
      <c r="O56" s="358">
        <f>-'Table 5C1J-Jefferson Chamber'!O57+'Table 5C1J-Jefferson Chamber'!R57</f>
        <v>0</v>
      </c>
      <c r="P56" s="358">
        <f>-'Table 5C1K-Tallulah Charter'!O57+'Table 5C1K-Tallulah Charter'!R57</f>
        <v>0</v>
      </c>
      <c r="Q56" s="358">
        <f>-'Table 5C1L-Northshore Charter'!O57+'Table 5C1L-Northshore Charter'!R57</f>
        <v>0</v>
      </c>
      <c r="R56" s="358">
        <f>-'Table 5C1M-EBR Charter'!O57+'Table 5C1M-EBR Charter'!R57</f>
        <v>0</v>
      </c>
      <c r="S56" s="358">
        <f>-'Table 5C1N-Delta Charter'!O57+'Table 5C1N-Delta Charter'!R57</f>
        <v>0</v>
      </c>
      <c r="T56" s="358">
        <f>-'Table 5C2 - LA Virtual Admy'!P54-'Table 5C2 - LA Virtual Admy'!S54</f>
        <v>5301</v>
      </c>
      <c r="U56" s="358">
        <f>-'Table 5C3 - LA Connections EBR'!P54-'Table 5C3 - LA Connections EBR'!S54</f>
        <v>-3793.5</v>
      </c>
      <c r="V56" s="358">
        <f>-'Table 5E_OJJ'!P57-'Table 5E_OJJ'!Q57</f>
        <v>-11029.196505511471</v>
      </c>
      <c r="W56" s="358">
        <f t="shared" si="19"/>
        <v>-9521.6965055114706</v>
      </c>
      <c r="X56" s="736">
        <f t="shared" si="20"/>
        <v>44519093.303494491</v>
      </c>
      <c r="AA56" s="49"/>
      <c r="AD56"/>
      <c r="AM56"/>
    </row>
    <row r="57" spans="1:39">
      <c r="A57" s="99">
        <v>52</v>
      </c>
      <c r="B57" s="302" t="s">
        <v>143</v>
      </c>
      <c r="C57" s="311">
        <f>'Table 2_State Distrib and Adjs'!X58</f>
        <v>209100872</v>
      </c>
      <c r="D57" s="358"/>
      <c r="E57" s="358"/>
      <c r="F57" s="358">
        <f>-'Table 5C1A-Madison Prep'!O58-'Table 5C1A-Madison Prep'!R58</f>
        <v>0</v>
      </c>
      <c r="G57" s="358">
        <f>-'Table 5C1B-DArbonne'!O58-'Table 5C1B-DArbonne'!R58</f>
        <v>0</v>
      </c>
      <c r="H57" s="358">
        <f>-'Table 5C1C-Intl_VIBE'!O58-'Table 5C1C-Intl_VIBE'!R58</f>
        <v>-14667</v>
      </c>
      <c r="I57" s="358">
        <f>-'Table 5C1D-NOMMA'!O58-'Table 5C1D-NOMMA'!R58</f>
        <v>0</v>
      </c>
      <c r="J57" s="358">
        <f>-'Table 5C1E-LFNO'!Q58-'Table 5C1E-LFNO'!T58</f>
        <v>-4889</v>
      </c>
      <c r="K57" s="358">
        <f>-'Table 5C1F-Lake Charles Charter'!O58-'Table 5C1F-Lake Charles Charter'!R58</f>
        <v>0</v>
      </c>
      <c r="L57" s="358">
        <f>-'Table 5C1G-JS Clark Academy'!O58-'Table 5C1G-JS Clark Academy'!R58</f>
        <v>0</v>
      </c>
      <c r="M57" s="358">
        <f>-'Table 5C1H-Southwest LA Charter'!O58-'Table 5C1H-Southwest LA Charter'!R58</f>
        <v>0</v>
      </c>
      <c r="N57" s="358">
        <f>-'Table 5C1I-LA Key Academy'!O58+'Table 5C1I-LA Key Academy'!R58</f>
        <v>0</v>
      </c>
      <c r="O57" s="358">
        <f>-'Table 5C1J-Jefferson Chamber'!O58+'Table 5C1J-Jefferson Chamber'!R58</f>
        <v>0</v>
      </c>
      <c r="P57" s="358">
        <f>-'Table 5C1K-Tallulah Charter'!O58+'Table 5C1K-Tallulah Charter'!R58</f>
        <v>0</v>
      </c>
      <c r="Q57" s="358">
        <f>-'Table 5C1L-Northshore Charter'!O58+'Table 5C1L-Northshore Charter'!R58</f>
        <v>0</v>
      </c>
      <c r="R57" s="358">
        <f>-'Table 5C1M-EBR Charter'!O58+'Table 5C1M-EBR Charter'!R58</f>
        <v>0</v>
      </c>
      <c r="S57" s="358">
        <f>-'Table 5C1N-Delta Charter'!O58+'Table 5C1N-Delta Charter'!R58</f>
        <v>0</v>
      </c>
      <c r="T57" s="358">
        <f>-'Table 5C2 - LA Virtual Admy'!P55-'Table 5C2 - LA Virtual Admy'!S55</f>
        <v>-307886.40000000002</v>
      </c>
      <c r="U57" s="358">
        <f>-'Table 5C3 - LA Connections EBR'!P55-'Table 5C3 - LA Connections EBR'!S55</f>
        <v>-470810.7</v>
      </c>
      <c r="V57" s="358">
        <f>-'Table 5E_OJJ'!P58-'Table 5E_OJJ'!Q58</f>
        <v>-42696.596396860325</v>
      </c>
      <c r="W57" s="358">
        <f t="shared" si="19"/>
        <v>-840949.69639686041</v>
      </c>
      <c r="X57" s="736">
        <f t="shared" si="20"/>
        <v>208259922.30360314</v>
      </c>
      <c r="AA57" s="49"/>
      <c r="AD57"/>
      <c r="AM57"/>
    </row>
    <row r="58" spans="1:39">
      <c r="A58" s="99">
        <v>53</v>
      </c>
      <c r="B58" s="302" t="s">
        <v>144</v>
      </c>
      <c r="C58" s="311">
        <f>'Table 2_State Distrib and Adjs'!X59</f>
        <v>104065628</v>
      </c>
      <c r="D58" s="358"/>
      <c r="E58" s="358"/>
      <c r="F58" s="358">
        <f>-'Table 5C1A-Madison Prep'!O59-'Table 5C1A-Madison Prep'!R59</f>
        <v>0</v>
      </c>
      <c r="G58" s="358">
        <f>-'Table 5C1B-DArbonne'!O59-'Table 5C1B-DArbonne'!R59</f>
        <v>0</v>
      </c>
      <c r="H58" s="358">
        <f>-'Table 5C1C-Intl_VIBE'!O59-'Table 5C1C-Intl_VIBE'!R59</f>
        <v>0</v>
      </c>
      <c r="I58" s="358">
        <f>-'Table 5C1D-NOMMA'!O59-'Table 5C1D-NOMMA'!R59</f>
        <v>0</v>
      </c>
      <c r="J58" s="358">
        <f>-'Table 5C1E-LFNO'!Q59-'Table 5C1E-LFNO'!T59</f>
        <v>0</v>
      </c>
      <c r="K58" s="358">
        <f>-'Table 5C1F-Lake Charles Charter'!O59-'Table 5C1F-Lake Charles Charter'!R59</f>
        <v>0</v>
      </c>
      <c r="L58" s="358">
        <f>-'Table 5C1G-JS Clark Academy'!O59-'Table 5C1G-JS Clark Academy'!R59</f>
        <v>0</v>
      </c>
      <c r="M58" s="358">
        <f>-'Table 5C1H-Southwest LA Charter'!O59-'Table 5C1H-Southwest LA Charter'!R59</f>
        <v>0</v>
      </c>
      <c r="N58" s="358">
        <f>-'Table 5C1I-LA Key Academy'!O59+'Table 5C1I-LA Key Academy'!R59</f>
        <v>0</v>
      </c>
      <c r="O58" s="358">
        <f>-'Table 5C1J-Jefferson Chamber'!O59+'Table 5C1J-Jefferson Chamber'!R59</f>
        <v>0</v>
      </c>
      <c r="P58" s="358">
        <f>-'Table 5C1K-Tallulah Charter'!O59+'Table 5C1K-Tallulah Charter'!R59</f>
        <v>0</v>
      </c>
      <c r="Q58" s="358">
        <f>-'Table 5C1L-Northshore Charter'!O59+'Table 5C1L-Northshore Charter'!R59</f>
        <v>0</v>
      </c>
      <c r="R58" s="358">
        <f>-'Table 5C1M-EBR Charter'!O59+'Table 5C1M-EBR Charter'!R59</f>
        <v>0</v>
      </c>
      <c r="S58" s="358">
        <f>-'Table 5C1N-Delta Charter'!O59+'Table 5C1N-Delta Charter'!R59</f>
        <v>0</v>
      </c>
      <c r="T58" s="358">
        <f>-'Table 5C2 - LA Virtual Admy'!P56-'Table 5C2 - LA Virtual Admy'!S56</f>
        <v>-99851.400000000009</v>
      </c>
      <c r="U58" s="358">
        <f>-'Table 5C3 - LA Connections EBR'!P56-'Table 5C3 - LA Connections EBR'!S56</f>
        <v>-104890.50000000001</v>
      </c>
      <c r="V58" s="358">
        <f>-'Table 5E_OJJ'!P59-'Table 5E_OJJ'!Q59</f>
        <v>-14702.815143270424</v>
      </c>
      <c r="W58" s="358">
        <f t="shared" si="19"/>
        <v>-219444.71514327044</v>
      </c>
      <c r="X58" s="736">
        <f t="shared" si="20"/>
        <v>103846183.28485672</v>
      </c>
      <c r="AA58" s="49"/>
      <c r="AD58"/>
      <c r="AM58"/>
    </row>
    <row r="59" spans="1:39">
      <c r="A59" s="99">
        <v>54</v>
      </c>
      <c r="B59" s="302" t="s">
        <v>145</v>
      </c>
      <c r="C59" s="311">
        <f>'Table 2_State Distrib and Adjs'!X60</f>
        <v>4673501</v>
      </c>
      <c r="D59" s="358"/>
      <c r="E59" s="358"/>
      <c r="F59" s="358">
        <f>-'Table 5C1A-Madison Prep'!O60-'Table 5C1A-Madison Prep'!R60</f>
        <v>0</v>
      </c>
      <c r="G59" s="358">
        <f>-'Table 5C1B-DArbonne'!O60-'Table 5C1B-DArbonne'!R60</f>
        <v>0</v>
      </c>
      <c r="H59" s="358">
        <f>-'Table 5C1C-Intl_VIBE'!O60-'Table 5C1C-Intl_VIBE'!R60</f>
        <v>0</v>
      </c>
      <c r="I59" s="358">
        <f>-'Table 5C1D-NOMMA'!O60-'Table 5C1D-NOMMA'!R60</f>
        <v>0</v>
      </c>
      <c r="J59" s="358">
        <f>-'Table 5C1E-LFNO'!Q60-'Table 5C1E-LFNO'!T60</f>
        <v>0</v>
      </c>
      <c r="K59" s="358">
        <f>-'Table 5C1F-Lake Charles Charter'!O60-'Table 5C1F-Lake Charles Charter'!R60</f>
        <v>0</v>
      </c>
      <c r="L59" s="358">
        <f>-'Table 5C1G-JS Clark Academy'!O60-'Table 5C1G-JS Clark Academy'!R60</f>
        <v>0</v>
      </c>
      <c r="M59" s="358">
        <f>-'Table 5C1H-Southwest LA Charter'!O60-'Table 5C1H-Southwest LA Charter'!R60</f>
        <v>0</v>
      </c>
      <c r="N59" s="358">
        <f>-'Table 5C1I-LA Key Academy'!O60+'Table 5C1I-LA Key Academy'!R60</f>
        <v>0</v>
      </c>
      <c r="O59" s="358">
        <f>-'Table 5C1J-Jefferson Chamber'!O60+'Table 5C1J-Jefferson Chamber'!R60</f>
        <v>0</v>
      </c>
      <c r="P59" s="358">
        <f>-'Table 5C1K-Tallulah Charter'!O60+'Table 5C1K-Tallulah Charter'!R60</f>
        <v>0</v>
      </c>
      <c r="Q59" s="358">
        <f>-'Table 5C1L-Northshore Charter'!O60+'Table 5C1L-Northshore Charter'!R60</f>
        <v>0</v>
      </c>
      <c r="R59" s="358">
        <f>-'Table 5C1M-EBR Charter'!O60+'Table 5C1M-EBR Charter'!R60</f>
        <v>0</v>
      </c>
      <c r="S59" s="358">
        <f>-'Table 5C1N-Delta Charter'!O60+'Table 5C1N-Delta Charter'!R60</f>
        <v>0</v>
      </c>
      <c r="T59" s="358">
        <f>-'Table 5C2 - LA Virtual Admy'!P57-'Table 5C2 - LA Virtual Admy'!S57</f>
        <v>0</v>
      </c>
      <c r="U59" s="358">
        <f>-'Table 5C3 - LA Connections EBR'!P57-'Table 5C3 - LA Connections EBR'!S57</f>
        <v>-16605</v>
      </c>
      <c r="V59" s="358">
        <f>-'Table 5E_OJJ'!P60-'Table 5E_OJJ'!Q60</f>
        <v>-8836.9443703329925</v>
      </c>
      <c r="W59" s="358">
        <f t="shared" si="19"/>
        <v>-25441.944370332993</v>
      </c>
      <c r="X59" s="736">
        <f t="shared" si="20"/>
        <v>4648059.0556296669</v>
      </c>
      <c r="AA59" s="49"/>
      <c r="AD59"/>
      <c r="AM59"/>
    </row>
    <row r="60" spans="1:39">
      <c r="A60" s="100">
        <v>55</v>
      </c>
      <c r="B60" s="303" t="s">
        <v>146</v>
      </c>
      <c r="C60" s="319">
        <f>'Table 2_State Distrib and Adjs'!X61</f>
        <v>87862559</v>
      </c>
      <c r="D60" s="359"/>
      <c r="E60" s="359"/>
      <c r="F60" s="359">
        <f>-'Table 5C1A-Madison Prep'!O61-'Table 5C1A-Madison Prep'!R61</f>
        <v>0</v>
      </c>
      <c r="G60" s="359">
        <f>-'Table 5C1B-DArbonne'!O61-'Table 5C1B-DArbonne'!R61</f>
        <v>0</v>
      </c>
      <c r="H60" s="359">
        <f>-'Table 5C1C-Intl_VIBE'!O61-'Table 5C1C-Intl_VIBE'!R61</f>
        <v>0</v>
      </c>
      <c r="I60" s="359">
        <f>-'Table 5C1D-NOMMA'!O61-'Table 5C1D-NOMMA'!R61</f>
        <v>0</v>
      </c>
      <c r="J60" s="359">
        <f>-'Table 5C1E-LFNO'!Q61-'Table 5C1E-LFNO'!T61</f>
        <v>0</v>
      </c>
      <c r="K60" s="359">
        <f>-'Table 5C1F-Lake Charles Charter'!O61-'Table 5C1F-Lake Charles Charter'!R61</f>
        <v>0</v>
      </c>
      <c r="L60" s="359">
        <f>-'Table 5C1G-JS Clark Academy'!O61-'Table 5C1G-JS Clark Academy'!R61</f>
        <v>0</v>
      </c>
      <c r="M60" s="359">
        <f>-'Table 5C1H-Southwest LA Charter'!O61-'Table 5C1H-Southwest LA Charter'!R61</f>
        <v>0</v>
      </c>
      <c r="N60" s="359">
        <f>-'Table 5C1I-LA Key Academy'!O61+'Table 5C1I-LA Key Academy'!R61</f>
        <v>0</v>
      </c>
      <c r="O60" s="359">
        <f>-'Table 5C1J-Jefferson Chamber'!O61+'Table 5C1J-Jefferson Chamber'!R61</f>
        <v>0</v>
      </c>
      <c r="P60" s="359">
        <f>-'Table 5C1K-Tallulah Charter'!O61+'Table 5C1K-Tallulah Charter'!R61</f>
        <v>0</v>
      </c>
      <c r="Q60" s="359">
        <f>-'Table 5C1L-Northshore Charter'!O61+'Table 5C1L-Northshore Charter'!R61</f>
        <v>0</v>
      </c>
      <c r="R60" s="359">
        <f>-'Table 5C1M-EBR Charter'!O61+'Table 5C1M-EBR Charter'!R61</f>
        <v>0</v>
      </c>
      <c r="S60" s="359">
        <f>-'Table 5C1N-Delta Charter'!O61+'Table 5C1N-Delta Charter'!R61</f>
        <v>0</v>
      </c>
      <c r="T60" s="359">
        <f>-'Table 5C2 - LA Virtual Admy'!P58-'Table 5C2 - LA Virtual Admy'!S58</f>
        <v>-55587.600000000006</v>
      </c>
      <c r="U60" s="359">
        <f>-'Table 5C3 - LA Connections EBR'!P58-'Table 5C3 - LA Connections EBR'!S58</f>
        <v>-110810.70000000001</v>
      </c>
      <c r="V60" s="359">
        <f>-'Table 5E_OJJ'!P61-'Table 5E_OJJ'!Q61</f>
        <v>-38689.848423696007</v>
      </c>
      <c r="W60" s="359">
        <f t="shared" si="19"/>
        <v>-205088.14842369602</v>
      </c>
      <c r="X60" s="737">
        <f t="shared" si="20"/>
        <v>87657470.851576313</v>
      </c>
      <c r="AA60" s="49"/>
      <c r="AD60"/>
      <c r="AM60"/>
    </row>
    <row r="61" spans="1:39">
      <c r="A61" s="99">
        <v>56</v>
      </c>
      <c r="B61" s="302" t="s">
        <v>147</v>
      </c>
      <c r="C61" s="311">
        <f>'Table 2_State Distrib and Adjs'!X62</f>
        <v>12930814</v>
      </c>
      <c r="D61" s="358"/>
      <c r="E61" s="358"/>
      <c r="F61" s="358">
        <f>-'Table 5C1A-Madison Prep'!O62-'Table 5C1A-Madison Prep'!R62</f>
        <v>0</v>
      </c>
      <c r="G61" s="358">
        <f>-'Table 5C1B-DArbonne'!O62-'Table 5C1B-DArbonne'!R62</f>
        <v>-1475649</v>
      </c>
      <c r="H61" s="358">
        <f>-'Table 5C1C-Intl_VIBE'!O62-'Table 5C1C-Intl_VIBE'!R62</f>
        <v>0</v>
      </c>
      <c r="I61" s="358">
        <f>-'Table 5C1D-NOMMA'!O62-'Table 5C1D-NOMMA'!R62</f>
        <v>0</v>
      </c>
      <c r="J61" s="358">
        <f>-'Table 5C1E-LFNO'!Q62-'Table 5C1E-LFNO'!T62</f>
        <v>0</v>
      </c>
      <c r="K61" s="358">
        <f>-'Table 5C1F-Lake Charles Charter'!O62-'Table 5C1F-Lake Charles Charter'!R62</f>
        <v>0</v>
      </c>
      <c r="L61" s="358">
        <f>-'Table 5C1G-JS Clark Academy'!O62-'Table 5C1G-JS Clark Academy'!R62</f>
        <v>0</v>
      </c>
      <c r="M61" s="358">
        <f>-'Table 5C1H-Southwest LA Charter'!O62-'Table 5C1H-Southwest LA Charter'!R62</f>
        <v>0</v>
      </c>
      <c r="N61" s="358">
        <f>-'Table 5C1I-LA Key Academy'!O62+'Table 5C1I-LA Key Academy'!R62</f>
        <v>0</v>
      </c>
      <c r="O61" s="358">
        <f>-'Table 5C1J-Jefferson Chamber'!O62+'Table 5C1J-Jefferson Chamber'!R62</f>
        <v>0</v>
      </c>
      <c r="P61" s="358">
        <f>-'Table 5C1K-Tallulah Charter'!O62+'Table 5C1K-Tallulah Charter'!R62</f>
        <v>0</v>
      </c>
      <c r="Q61" s="358">
        <f>-'Table 5C1L-Northshore Charter'!O62+'Table 5C1L-Northshore Charter'!R62</f>
        <v>0</v>
      </c>
      <c r="R61" s="358">
        <f>-'Table 5C1M-EBR Charter'!O62+'Table 5C1M-EBR Charter'!R62</f>
        <v>0</v>
      </c>
      <c r="S61" s="358">
        <f>-'Table 5C1N-Delta Charter'!O62+'Table 5C1N-Delta Charter'!R62</f>
        <v>0</v>
      </c>
      <c r="T61" s="358">
        <f>-'Table 5C2 - LA Virtual Admy'!P59-'Table 5C2 - LA Virtual Admy'!S59</f>
        <v>-14893.2</v>
      </c>
      <c r="U61" s="358">
        <f>-'Table 5C3 - LA Connections EBR'!P59-'Table 5C3 - LA Connections EBR'!S59</f>
        <v>-12505.5</v>
      </c>
      <c r="V61" s="358">
        <f>-'Table 5E_OJJ'!P62-'Table 5E_OJJ'!Q62</f>
        <v>0</v>
      </c>
      <c r="W61" s="358">
        <f t="shared" si="19"/>
        <v>-1503047.7</v>
      </c>
      <c r="X61" s="736">
        <f t="shared" si="20"/>
        <v>11427766.300000001</v>
      </c>
      <c r="AA61" s="49"/>
      <c r="AD61"/>
      <c r="AM61"/>
    </row>
    <row r="62" spans="1:39">
      <c r="A62" s="99">
        <v>57</v>
      </c>
      <c r="B62" s="302" t="s">
        <v>148</v>
      </c>
      <c r="C62" s="311">
        <f>'Table 2_State Distrib and Adjs'!X63</f>
        <v>47414712</v>
      </c>
      <c r="D62" s="358"/>
      <c r="E62" s="358"/>
      <c r="F62" s="358">
        <f>-'Table 5C1A-Madison Prep'!O63-'Table 5C1A-Madison Prep'!R63</f>
        <v>0</v>
      </c>
      <c r="G62" s="358">
        <f>-'Table 5C1B-DArbonne'!O63-'Table 5C1B-DArbonne'!R63</f>
        <v>0</v>
      </c>
      <c r="H62" s="358">
        <f>-'Table 5C1C-Intl_VIBE'!O63-'Table 5C1C-Intl_VIBE'!R63</f>
        <v>0</v>
      </c>
      <c r="I62" s="358">
        <f>-'Table 5C1D-NOMMA'!O63-'Table 5C1D-NOMMA'!R63</f>
        <v>0</v>
      </c>
      <c r="J62" s="358">
        <f>-'Table 5C1E-LFNO'!Q63-'Table 5C1E-LFNO'!T63</f>
        <v>0</v>
      </c>
      <c r="K62" s="358">
        <f>-'Table 5C1F-Lake Charles Charter'!O63-'Table 5C1F-Lake Charles Charter'!R63</f>
        <v>0</v>
      </c>
      <c r="L62" s="358">
        <f>-'Table 5C1G-JS Clark Academy'!O63-'Table 5C1G-JS Clark Academy'!R63</f>
        <v>0</v>
      </c>
      <c r="M62" s="358">
        <f>-'Table 5C1H-Southwest LA Charter'!O63-'Table 5C1H-Southwest LA Charter'!R63</f>
        <v>0</v>
      </c>
      <c r="N62" s="358">
        <f>-'Table 5C1I-LA Key Academy'!O63+'Table 5C1I-LA Key Academy'!R63</f>
        <v>0</v>
      </c>
      <c r="O62" s="358">
        <f>-'Table 5C1J-Jefferson Chamber'!O63+'Table 5C1J-Jefferson Chamber'!R63</f>
        <v>0</v>
      </c>
      <c r="P62" s="358">
        <f>-'Table 5C1K-Tallulah Charter'!O63+'Table 5C1K-Tallulah Charter'!R63</f>
        <v>0</v>
      </c>
      <c r="Q62" s="358">
        <f>-'Table 5C1L-Northshore Charter'!O63+'Table 5C1L-Northshore Charter'!R63</f>
        <v>0</v>
      </c>
      <c r="R62" s="358">
        <f>-'Table 5C1M-EBR Charter'!O63+'Table 5C1M-EBR Charter'!R63</f>
        <v>0</v>
      </c>
      <c r="S62" s="358">
        <f>-'Table 5C1N-Delta Charter'!O63+'Table 5C1N-Delta Charter'!R63</f>
        <v>0</v>
      </c>
      <c r="T62" s="358">
        <f>-'Table 5C2 - LA Virtual Admy'!P60-'Table 5C2 - LA Virtual Admy'!S60</f>
        <v>-26597.25</v>
      </c>
      <c r="U62" s="358">
        <f>-'Table 5C3 - LA Connections EBR'!P60-'Table 5C3 - LA Connections EBR'!S60</f>
        <v>-16777.800000000003</v>
      </c>
      <c r="V62" s="358">
        <f>-'Table 5E_OJJ'!P63-'Table 5E_OJJ'!Q63</f>
        <v>-7008.1086832663759</v>
      </c>
      <c r="W62" s="358">
        <f t="shared" si="19"/>
        <v>-50383.158683266382</v>
      </c>
      <c r="X62" s="736">
        <f t="shared" si="20"/>
        <v>47364328.841316737</v>
      </c>
      <c r="AA62" s="49"/>
      <c r="AD62"/>
      <c r="AM62"/>
    </row>
    <row r="63" spans="1:39">
      <c r="A63" s="99">
        <v>58</v>
      </c>
      <c r="B63" s="302" t="s">
        <v>149</v>
      </c>
      <c r="C63" s="311">
        <f>'Table 2_State Distrib and Adjs'!X64</f>
        <v>55582897</v>
      </c>
      <c r="D63" s="358"/>
      <c r="E63" s="358"/>
      <c r="F63" s="358">
        <f>-'Table 5C1A-Madison Prep'!O64-'Table 5C1A-Madison Prep'!R64</f>
        <v>0</v>
      </c>
      <c r="G63" s="358">
        <f>-'Table 5C1B-DArbonne'!O64-'Table 5C1B-DArbonne'!R64</f>
        <v>0</v>
      </c>
      <c r="H63" s="358">
        <f>-'Table 5C1C-Intl_VIBE'!O64-'Table 5C1C-Intl_VIBE'!R64</f>
        <v>0</v>
      </c>
      <c r="I63" s="358">
        <f>-'Table 5C1D-NOMMA'!O64-'Table 5C1D-NOMMA'!R64</f>
        <v>0</v>
      </c>
      <c r="J63" s="358">
        <f>-'Table 5C1E-LFNO'!Q64-'Table 5C1E-LFNO'!T64</f>
        <v>0</v>
      </c>
      <c r="K63" s="358">
        <f>-'Table 5C1F-Lake Charles Charter'!O64-'Table 5C1F-Lake Charles Charter'!R64</f>
        <v>0</v>
      </c>
      <c r="L63" s="358">
        <f>-'Table 5C1G-JS Clark Academy'!O64-'Table 5C1G-JS Clark Academy'!R64</f>
        <v>0</v>
      </c>
      <c r="M63" s="358">
        <f>-'Table 5C1H-Southwest LA Charter'!O64-'Table 5C1H-Southwest LA Charter'!R64</f>
        <v>0</v>
      </c>
      <c r="N63" s="358">
        <f>-'Table 5C1I-LA Key Academy'!O64+'Table 5C1I-LA Key Academy'!R64</f>
        <v>0</v>
      </c>
      <c r="O63" s="358">
        <f>-'Table 5C1J-Jefferson Chamber'!O64+'Table 5C1J-Jefferson Chamber'!R64</f>
        <v>0</v>
      </c>
      <c r="P63" s="358">
        <f>-'Table 5C1K-Tallulah Charter'!O64+'Table 5C1K-Tallulah Charter'!R64</f>
        <v>0</v>
      </c>
      <c r="Q63" s="358">
        <f>-'Table 5C1L-Northshore Charter'!O64+'Table 5C1L-Northshore Charter'!R64</f>
        <v>0</v>
      </c>
      <c r="R63" s="358">
        <f>-'Table 5C1M-EBR Charter'!O64+'Table 5C1M-EBR Charter'!R64</f>
        <v>0</v>
      </c>
      <c r="S63" s="358">
        <f>-'Table 5C1N-Delta Charter'!O64+'Table 5C1N-Delta Charter'!R64</f>
        <v>0</v>
      </c>
      <c r="T63" s="358">
        <f>-'Table 5C2 - LA Virtual Admy'!P61-'Table 5C2 - LA Virtual Admy'!S61</f>
        <v>-63131.4</v>
      </c>
      <c r="U63" s="358">
        <f>-'Table 5C3 - LA Connections EBR'!P61-'Table 5C3 - LA Connections EBR'!S61</f>
        <v>-53046</v>
      </c>
      <c r="V63" s="358">
        <f>-'Table 5E_OJJ'!P64-'Table 5E_OJJ'!Q64</f>
        <v>-1414.1435188587134</v>
      </c>
      <c r="W63" s="358">
        <f t="shared" si="19"/>
        <v>-117591.54351885871</v>
      </c>
      <c r="X63" s="736">
        <f t="shared" si="20"/>
        <v>55465305.456481144</v>
      </c>
      <c r="AA63" s="49"/>
      <c r="AD63"/>
      <c r="AM63"/>
    </row>
    <row r="64" spans="1:39">
      <c r="A64" s="99">
        <v>59</v>
      </c>
      <c r="B64" s="302" t="s">
        <v>150</v>
      </c>
      <c r="C64" s="311">
        <f>'Table 2_State Distrib and Adjs'!X65</f>
        <v>36351029</v>
      </c>
      <c r="D64" s="358"/>
      <c r="E64" s="358"/>
      <c r="F64" s="358">
        <f>-'Table 5C1A-Madison Prep'!O65-'Table 5C1A-Madison Prep'!R65</f>
        <v>0</v>
      </c>
      <c r="G64" s="358">
        <f>-'Table 5C1B-DArbonne'!O65-'Table 5C1B-DArbonne'!R65</f>
        <v>0</v>
      </c>
      <c r="H64" s="358">
        <f>-'Table 5C1C-Intl_VIBE'!O65-'Table 5C1C-Intl_VIBE'!R65</f>
        <v>0</v>
      </c>
      <c r="I64" s="358">
        <f>-'Table 5C1D-NOMMA'!O65-'Table 5C1D-NOMMA'!R65</f>
        <v>0</v>
      </c>
      <c r="J64" s="358">
        <f>-'Table 5C1E-LFNO'!Q65-'Table 5C1E-LFNO'!T65</f>
        <v>0</v>
      </c>
      <c r="K64" s="358">
        <f>-'Table 5C1F-Lake Charles Charter'!O65-'Table 5C1F-Lake Charles Charter'!R65</f>
        <v>0</v>
      </c>
      <c r="L64" s="358">
        <f>-'Table 5C1G-JS Clark Academy'!O65-'Table 5C1G-JS Clark Academy'!R65</f>
        <v>0</v>
      </c>
      <c r="M64" s="358">
        <f>-'Table 5C1H-Southwest LA Charter'!O65-'Table 5C1H-Southwest LA Charter'!R65</f>
        <v>0</v>
      </c>
      <c r="N64" s="358">
        <f>-'Table 5C1I-LA Key Academy'!O65+'Table 5C1I-LA Key Academy'!R65</f>
        <v>0</v>
      </c>
      <c r="O64" s="358">
        <f>-'Table 5C1J-Jefferson Chamber'!O65+'Table 5C1J-Jefferson Chamber'!R65</f>
        <v>0</v>
      </c>
      <c r="P64" s="358">
        <f>-'Table 5C1K-Tallulah Charter'!O65+'Table 5C1K-Tallulah Charter'!R65</f>
        <v>0</v>
      </c>
      <c r="Q64" s="358">
        <f>-'Table 5C1L-Northshore Charter'!O65+'Table 5C1L-Northshore Charter'!R65</f>
        <v>-173650</v>
      </c>
      <c r="R64" s="358">
        <f>-'Table 5C1M-EBR Charter'!O65+'Table 5C1M-EBR Charter'!R65</f>
        <v>0</v>
      </c>
      <c r="S64" s="358">
        <f>-'Table 5C1N-Delta Charter'!O65+'Table 5C1N-Delta Charter'!R65</f>
        <v>0</v>
      </c>
      <c r="T64" s="358">
        <f>-'Table 5C2 - LA Virtual Admy'!P62-'Table 5C2 - LA Virtual Admy'!S62</f>
        <v>-18406.8</v>
      </c>
      <c r="U64" s="358">
        <f>-'Table 5C3 - LA Connections EBR'!P62-'Table 5C3 - LA Connections EBR'!S62</f>
        <v>-19026</v>
      </c>
      <c r="V64" s="358">
        <f>-'Table 5E_OJJ'!P65-'Table 5E_OJJ'!Q65</f>
        <v>-5087.7633143794073</v>
      </c>
      <c r="W64" s="358">
        <f t="shared" si="19"/>
        <v>-216170.5633143794</v>
      </c>
      <c r="X64" s="736">
        <f t="shared" si="20"/>
        <v>36134858.436685622</v>
      </c>
      <c r="AA64" s="49"/>
      <c r="AD64"/>
      <c r="AM64"/>
    </row>
    <row r="65" spans="1:39">
      <c r="A65" s="100">
        <v>60</v>
      </c>
      <c r="B65" s="303" t="s">
        <v>151</v>
      </c>
      <c r="C65" s="319">
        <f>'Table 2_State Distrib and Adjs'!X66</f>
        <v>35693172</v>
      </c>
      <c r="D65" s="359"/>
      <c r="E65" s="359"/>
      <c r="F65" s="359">
        <f>-'Table 5C1A-Madison Prep'!O66-'Table 5C1A-Madison Prep'!R66</f>
        <v>0</v>
      </c>
      <c r="G65" s="359">
        <f>-'Table 5C1B-DArbonne'!O66-'Table 5C1B-DArbonne'!R66</f>
        <v>0</v>
      </c>
      <c r="H65" s="359">
        <f>-'Table 5C1C-Intl_VIBE'!O66-'Table 5C1C-Intl_VIBE'!R66</f>
        <v>0</v>
      </c>
      <c r="I65" s="359">
        <f>-'Table 5C1D-NOMMA'!O66-'Table 5C1D-NOMMA'!R66</f>
        <v>0</v>
      </c>
      <c r="J65" s="359">
        <f>-'Table 5C1E-LFNO'!Q66-'Table 5C1E-LFNO'!T66</f>
        <v>0</v>
      </c>
      <c r="K65" s="359">
        <f>-'Table 5C1F-Lake Charles Charter'!O66-'Table 5C1F-Lake Charles Charter'!R66</f>
        <v>0</v>
      </c>
      <c r="L65" s="359">
        <f>-'Table 5C1G-JS Clark Academy'!O66-'Table 5C1G-JS Clark Academy'!R66</f>
        <v>0</v>
      </c>
      <c r="M65" s="359">
        <f>-'Table 5C1H-Southwest LA Charter'!O66-'Table 5C1H-Southwest LA Charter'!R66</f>
        <v>0</v>
      </c>
      <c r="N65" s="359">
        <f>-'Table 5C1I-LA Key Academy'!O66+'Table 5C1I-LA Key Academy'!R66</f>
        <v>0</v>
      </c>
      <c r="O65" s="359">
        <f>-'Table 5C1J-Jefferson Chamber'!O66+'Table 5C1J-Jefferson Chamber'!R66</f>
        <v>0</v>
      </c>
      <c r="P65" s="359">
        <f>-'Table 5C1K-Tallulah Charter'!O66+'Table 5C1K-Tallulah Charter'!R66</f>
        <v>0</v>
      </c>
      <c r="Q65" s="359">
        <f>-'Table 5C1L-Northshore Charter'!O66+'Table 5C1L-Northshore Charter'!R66</f>
        <v>0</v>
      </c>
      <c r="R65" s="359">
        <f>-'Table 5C1M-EBR Charter'!O66+'Table 5C1M-EBR Charter'!R66</f>
        <v>0</v>
      </c>
      <c r="S65" s="359">
        <f>-'Table 5C1N-Delta Charter'!O66+'Table 5C1N-Delta Charter'!R66</f>
        <v>0</v>
      </c>
      <c r="T65" s="359">
        <f>-'Table 5C2 - LA Virtual Admy'!P63-'Table 5C2 - LA Virtual Admy'!S63</f>
        <v>-51088.5</v>
      </c>
      <c r="U65" s="359">
        <f>-'Table 5C3 - LA Connections EBR'!P63-'Table 5C3 - LA Connections EBR'!S63</f>
        <v>-88756.200000000012</v>
      </c>
      <c r="V65" s="359">
        <f>-'Table 5E_OJJ'!P66-'Table 5E_OJJ'!Q66</f>
        <v>-12751.498921293127</v>
      </c>
      <c r="W65" s="359">
        <f t="shared" si="19"/>
        <v>-152596.19892129314</v>
      </c>
      <c r="X65" s="737">
        <f t="shared" si="20"/>
        <v>35540575.801078707</v>
      </c>
      <c r="AA65" s="49"/>
      <c r="AD65"/>
      <c r="AM65"/>
    </row>
    <row r="66" spans="1:39">
      <c r="A66" s="99">
        <v>61</v>
      </c>
      <c r="B66" s="302" t="s">
        <v>152</v>
      </c>
      <c r="C66" s="311">
        <f>'Table 2_State Distrib and Adjs'!X67</f>
        <v>13485247</v>
      </c>
      <c r="D66" s="358"/>
      <c r="E66" s="358"/>
      <c r="F66" s="358">
        <f>-'Table 5C1A-Madison Prep'!O67-'Table 5C1A-Madison Prep'!R67</f>
        <v>-6570</v>
      </c>
      <c r="G66" s="358">
        <f>-'Table 5C1B-DArbonne'!O67-'Table 5C1B-DArbonne'!R67</f>
        <v>0</v>
      </c>
      <c r="H66" s="358">
        <f>-'Table 5C1C-Intl_VIBE'!O67-'Table 5C1C-Intl_VIBE'!R67</f>
        <v>0</v>
      </c>
      <c r="I66" s="358">
        <f>-'Table 5C1D-NOMMA'!O67-'Table 5C1D-NOMMA'!R67</f>
        <v>0</v>
      </c>
      <c r="J66" s="358">
        <f>-'Table 5C1E-LFNO'!Q67-'Table 5C1E-LFNO'!T67</f>
        <v>0</v>
      </c>
      <c r="K66" s="358">
        <f>-'Table 5C1F-Lake Charles Charter'!O67-'Table 5C1F-Lake Charles Charter'!R67</f>
        <v>0</v>
      </c>
      <c r="L66" s="358">
        <f>-'Table 5C1G-JS Clark Academy'!O67-'Table 5C1G-JS Clark Academy'!R67</f>
        <v>0</v>
      </c>
      <c r="M66" s="358">
        <f>-'Table 5C1H-Southwest LA Charter'!O67-'Table 5C1H-Southwest LA Charter'!R67</f>
        <v>0</v>
      </c>
      <c r="N66" s="358">
        <f>-'Table 5C1I-LA Key Academy'!O67+'Table 5C1I-LA Key Academy'!R67</f>
        <v>0</v>
      </c>
      <c r="O66" s="358">
        <f>-'Table 5C1J-Jefferson Chamber'!O67+'Table 5C1J-Jefferson Chamber'!R67</f>
        <v>0</v>
      </c>
      <c r="P66" s="358">
        <f>-'Table 5C1K-Tallulah Charter'!O67+'Table 5C1K-Tallulah Charter'!R67</f>
        <v>0</v>
      </c>
      <c r="Q66" s="358">
        <f>-'Table 5C1L-Northshore Charter'!O67+'Table 5C1L-Northshore Charter'!R67</f>
        <v>0</v>
      </c>
      <c r="R66" s="358">
        <f>-'Table 5C1M-EBR Charter'!O67+'Table 5C1M-EBR Charter'!R67</f>
        <v>0</v>
      </c>
      <c r="S66" s="358">
        <f>-'Table 5C1N-Delta Charter'!O67+'Table 5C1N-Delta Charter'!R67</f>
        <v>0</v>
      </c>
      <c r="T66" s="358">
        <f>-'Table 5C2 - LA Virtual Admy'!P64-'Table 5C2 - LA Virtual Admy'!S64</f>
        <v>-40918.5</v>
      </c>
      <c r="U66" s="358">
        <f>-'Table 5C3 - LA Connections EBR'!P64-'Table 5C3 - LA Connections EBR'!S64</f>
        <v>-53217</v>
      </c>
      <c r="V66" s="358">
        <f>-'Table 5E_OJJ'!P67-'Table 5E_OJJ'!Q67</f>
        <v>-12569.474792298959</v>
      </c>
      <c r="W66" s="358">
        <f t="shared" si="19"/>
        <v>-113274.97479229896</v>
      </c>
      <c r="X66" s="736">
        <f t="shared" si="20"/>
        <v>13371972.0252077</v>
      </c>
      <c r="AA66" s="49"/>
      <c r="AD66"/>
      <c r="AM66"/>
    </row>
    <row r="67" spans="1:39">
      <c r="A67" s="99">
        <v>62</v>
      </c>
      <c r="B67" s="302" t="s">
        <v>153</v>
      </c>
      <c r="C67" s="311">
        <f>'Table 2_State Distrib and Adjs'!X68</f>
        <v>12971836</v>
      </c>
      <c r="D67" s="358"/>
      <c r="E67" s="358"/>
      <c r="F67" s="358">
        <f>-'Table 5C1A-Madison Prep'!O68-'Table 5C1A-Madison Prep'!R68</f>
        <v>0</v>
      </c>
      <c r="G67" s="358">
        <f>-'Table 5C1B-DArbonne'!O68-'Table 5C1B-DArbonne'!R68</f>
        <v>0</v>
      </c>
      <c r="H67" s="358">
        <f>-'Table 5C1C-Intl_VIBE'!O68-'Table 5C1C-Intl_VIBE'!R68</f>
        <v>0</v>
      </c>
      <c r="I67" s="358">
        <f>-'Table 5C1D-NOMMA'!O68-'Table 5C1D-NOMMA'!R68</f>
        <v>0</v>
      </c>
      <c r="J67" s="358">
        <f>-'Table 5C1E-LFNO'!Q68-'Table 5C1E-LFNO'!T68</f>
        <v>0</v>
      </c>
      <c r="K67" s="358">
        <f>-'Table 5C1F-Lake Charles Charter'!O68-'Table 5C1F-Lake Charles Charter'!R68</f>
        <v>0</v>
      </c>
      <c r="L67" s="358">
        <f>-'Table 5C1G-JS Clark Academy'!O68-'Table 5C1G-JS Clark Academy'!R68</f>
        <v>0</v>
      </c>
      <c r="M67" s="358">
        <f>-'Table 5C1H-Southwest LA Charter'!O68-'Table 5C1H-Southwest LA Charter'!R68</f>
        <v>0</v>
      </c>
      <c r="N67" s="358">
        <f>-'Table 5C1I-LA Key Academy'!O68+'Table 5C1I-LA Key Academy'!R68</f>
        <v>0</v>
      </c>
      <c r="O67" s="358">
        <f>-'Table 5C1J-Jefferson Chamber'!O68+'Table 5C1J-Jefferson Chamber'!R68</f>
        <v>0</v>
      </c>
      <c r="P67" s="358">
        <f>-'Table 5C1K-Tallulah Charter'!O68+'Table 5C1K-Tallulah Charter'!R68</f>
        <v>0</v>
      </c>
      <c r="Q67" s="358">
        <f>-'Table 5C1L-Northshore Charter'!O68+'Table 5C1L-Northshore Charter'!R68</f>
        <v>0</v>
      </c>
      <c r="R67" s="358">
        <f>-'Table 5C1M-EBR Charter'!O68+'Table 5C1M-EBR Charter'!R68</f>
        <v>0</v>
      </c>
      <c r="S67" s="358">
        <f>-'Table 5C1N-Delta Charter'!O68+'Table 5C1N-Delta Charter'!R68</f>
        <v>0</v>
      </c>
      <c r="T67" s="358">
        <f>-'Table 5C2 - LA Virtual Admy'!P65-'Table 5C2 - LA Virtual Admy'!S65</f>
        <v>-984.15000000000009</v>
      </c>
      <c r="U67" s="358">
        <f>-'Table 5C3 - LA Connections EBR'!P65-'Table 5C3 - LA Connections EBR'!S65</f>
        <v>-1740.6000000000001</v>
      </c>
      <c r="V67" s="358">
        <f>-'Table 5E_OJJ'!P68-'Table 5E_OJJ'!Q68</f>
        <v>-150.32325997973834</v>
      </c>
      <c r="W67" s="358">
        <f t="shared" si="19"/>
        <v>-2875.0732599797384</v>
      </c>
      <c r="X67" s="736">
        <f t="shared" si="20"/>
        <v>12968960.926740021</v>
      </c>
      <c r="AA67" s="49"/>
      <c r="AD67"/>
      <c r="AM67"/>
    </row>
    <row r="68" spans="1:39">
      <c r="A68" s="99">
        <v>63</v>
      </c>
      <c r="B68" s="302" t="s">
        <v>154</v>
      </c>
      <c r="C68" s="311">
        <f>'Table 2_State Distrib and Adjs'!X69</f>
        <v>10427588</v>
      </c>
      <c r="D68" s="358"/>
      <c r="E68" s="358"/>
      <c r="F68" s="358">
        <f>-'Table 5C1A-Madison Prep'!O69-'Table 5C1A-Madison Prep'!R69</f>
        <v>0</v>
      </c>
      <c r="G68" s="358">
        <f>-'Table 5C1B-DArbonne'!O69-'Table 5C1B-DArbonne'!R69</f>
        <v>0</v>
      </c>
      <c r="H68" s="358">
        <f>-'Table 5C1C-Intl_VIBE'!O69-'Table 5C1C-Intl_VIBE'!R69</f>
        <v>0</v>
      </c>
      <c r="I68" s="358">
        <f>-'Table 5C1D-NOMMA'!O69-'Table 5C1D-NOMMA'!R69</f>
        <v>0</v>
      </c>
      <c r="J68" s="358">
        <f>-'Table 5C1E-LFNO'!Q69-'Table 5C1E-LFNO'!T69</f>
        <v>0</v>
      </c>
      <c r="K68" s="358">
        <f>-'Table 5C1F-Lake Charles Charter'!O69-'Table 5C1F-Lake Charles Charter'!R69</f>
        <v>0</v>
      </c>
      <c r="L68" s="358">
        <f>-'Table 5C1G-JS Clark Academy'!O69-'Table 5C1G-JS Clark Academy'!R69</f>
        <v>0</v>
      </c>
      <c r="M68" s="358">
        <f>-'Table 5C1H-Southwest LA Charter'!O69-'Table 5C1H-Southwest LA Charter'!R69</f>
        <v>0</v>
      </c>
      <c r="N68" s="358">
        <f>-'Table 5C1I-LA Key Academy'!O69+'Table 5C1I-LA Key Academy'!R69</f>
        <v>0</v>
      </c>
      <c r="O68" s="358">
        <f>-'Table 5C1J-Jefferson Chamber'!O69+'Table 5C1J-Jefferson Chamber'!R69</f>
        <v>0</v>
      </c>
      <c r="P68" s="358">
        <f>-'Table 5C1K-Tallulah Charter'!O69+'Table 5C1K-Tallulah Charter'!R69</f>
        <v>0</v>
      </c>
      <c r="Q68" s="358">
        <f>-'Table 5C1L-Northshore Charter'!O69+'Table 5C1L-Northshore Charter'!R69</f>
        <v>0</v>
      </c>
      <c r="R68" s="358">
        <f>-'Table 5C1M-EBR Charter'!O69+'Table 5C1M-EBR Charter'!R69</f>
        <v>0</v>
      </c>
      <c r="S68" s="358">
        <f>-'Table 5C1N-Delta Charter'!O69+'Table 5C1N-Delta Charter'!R69</f>
        <v>0</v>
      </c>
      <c r="T68" s="358">
        <f>-'Table 5C2 - LA Virtual Admy'!P66-'Table 5C2 - LA Virtual Admy'!S66</f>
        <v>18848.7</v>
      </c>
      <c r="U68" s="358">
        <f>-'Table 5C3 - LA Connections EBR'!P66-'Table 5C3 - LA Connections EBR'!S66</f>
        <v>-6108.3</v>
      </c>
      <c r="V68" s="358">
        <f>-'Table 5E_OJJ'!P69-'Table 5E_OJJ'!Q69</f>
        <v>0</v>
      </c>
      <c r="W68" s="358">
        <f t="shared" si="19"/>
        <v>12740.400000000001</v>
      </c>
      <c r="X68" s="736">
        <f t="shared" si="20"/>
        <v>10440328.399999999</v>
      </c>
      <c r="AA68" s="49"/>
      <c r="AD68"/>
      <c r="AM68"/>
    </row>
    <row r="69" spans="1:39">
      <c r="A69" s="99">
        <v>64</v>
      </c>
      <c r="B69" s="302" t="s">
        <v>155</v>
      </c>
      <c r="C69" s="311">
        <f>'Table 2_State Distrib and Adjs'!X70</f>
        <v>15661101</v>
      </c>
      <c r="D69" s="358"/>
      <c r="E69" s="358"/>
      <c r="F69" s="358">
        <f>-'Table 5C1A-Madison Prep'!O70-'Table 5C1A-Madison Prep'!R70</f>
        <v>0</v>
      </c>
      <c r="G69" s="358">
        <f>-'Table 5C1B-DArbonne'!O70-'Table 5C1B-DArbonne'!R70</f>
        <v>0</v>
      </c>
      <c r="H69" s="358">
        <f>-'Table 5C1C-Intl_VIBE'!O70-'Table 5C1C-Intl_VIBE'!R70</f>
        <v>0</v>
      </c>
      <c r="I69" s="358">
        <f>-'Table 5C1D-NOMMA'!O70-'Table 5C1D-NOMMA'!R70</f>
        <v>0</v>
      </c>
      <c r="J69" s="358">
        <f>-'Table 5C1E-LFNO'!Q70-'Table 5C1E-LFNO'!T70</f>
        <v>0</v>
      </c>
      <c r="K69" s="358">
        <f>-'Table 5C1F-Lake Charles Charter'!O70-'Table 5C1F-Lake Charles Charter'!R70</f>
        <v>0</v>
      </c>
      <c r="L69" s="358">
        <f>-'Table 5C1G-JS Clark Academy'!O70-'Table 5C1G-JS Clark Academy'!R70</f>
        <v>0</v>
      </c>
      <c r="M69" s="358">
        <f>-'Table 5C1H-Southwest LA Charter'!O70-'Table 5C1H-Southwest LA Charter'!R70</f>
        <v>0</v>
      </c>
      <c r="N69" s="358">
        <f>-'Table 5C1I-LA Key Academy'!O70+'Table 5C1I-LA Key Academy'!R70</f>
        <v>0</v>
      </c>
      <c r="O69" s="358">
        <f>-'Table 5C1J-Jefferson Chamber'!O70+'Table 5C1J-Jefferson Chamber'!R70</f>
        <v>0</v>
      </c>
      <c r="P69" s="358">
        <f>-'Table 5C1K-Tallulah Charter'!O70+'Table 5C1K-Tallulah Charter'!R70</f>
        <v>0</v>
      </c>
      <c r="Q69" s="358">
        <f>-'Table 5C1L-Northshore Charter'!O70+'Table 5C1L-Northshore Charter'!R70</f>
        <v>0</v>
      </c>
      <c r="R69" s="358">
        <f>-'Table 5C1M-EBR Charter'!O70+'Table 5C1M-EBR Charter'!R70</f>
        <v>0</v>
      </c>
      <c r="S69" s="358">
        <f>-'Table 5C1N-Delta Charter'!O70+'Table 5C1N-Delta Charter'!R70</f>
        <v>0</v>
      </c>
      <c r="T69" s="358">
        <f>-'Table 5C2 - LA Virtual Admy'!P67-'Table 5C2 - LA Virtual Admy'!S67</f>
        <v>-2610.9</v>
      </c>
      <c r="U69" s="358">
        <f>-'Table 5C3 - LA Connections EBR'!P67-'Table 5C3 - LA Connections EBR'!S67</f>
        <v>-10443.6</v>
      </c>
      <c r="V69" s="358">
        <f>-'Table 5E_OJJ'!P70-'Table 5E_OJJ'!Q70</f>
        <v>-1529.9509674813439</v>
      </c>
      <c r="W69" s="358">
        <f t="shared" si="19"/>
        <v>-14584.450967481343</v>
      </c>
      <c r="X69" s="736">
        <f t="shared" si="20"/>
        <v>15646516.549032519</v>
      </c>
      <c r="AA69" s="49"/>
      <c r="AD69"/>
      <c r="AM69"/>
    </row>
    <row r="70" spans="1:39">
      <c r="A70" s="100">
        <v>65</v>
      </c>
      <c r="B70" s="303" t="s">
        <v>156</v>
      </c>
      <c r="C70" s="319">
        <f>'Table 2_State Distrib and Adjs'!X71</f>
        <v>44570461</v>
      </c>
      <c r="D70" s="359"/>
      <c r="E70" s="359"/>
      <c r="F70" s="359">
        <f>-'Table 5C1A-Madison Prep'!O71-'Table 5C1A-Madison Prep'!R71</f>
        <v>0</v>
      </c>
      <c r="G70" s="359">
        <f>-'Table 5C1B-DArbonne'!O71-'Table 5C1B-DArbonne'!R71</f>
        <v>-15003</v>
      </c>
      <c r="H70" s="359">
        <f>-'Table 5C1C-Intl_VIBE'!O71-'Table 5C1C-Intl_VIBE'!R71</f>
        <v>0</v>
      </c>
      <c r="I70" s="359">
        <f>-'Table 5C1D-NOMMA'!O71-'Table 5C1D-NOMMA'!R71</f>
        <v>0</v>
      </c>
      <c r="J70" s="359">
        <f>-'Table 5C1E-LFNO'!Q71-'Table 5C1E-LFNO'!T71</f>
        <v>0</v>
      </c>
      <c r="K70" s="359">
        <f>-'Table 5C1F-Lake Charles Charter'!O71-'Table 5C1F-Lake Charles Charter'!R71</f>
        <v>0</v>
      </c>
      <c r="L70" s="359">
        <f>-'Table 5C1G-JS Clark Academy'!O71-'Table 5C1G-JS Clark Academy'!R71</f>
        <v>0</v>
      </c>
      <c r="M70" s="359">
        <f>-'Table 5C1H-Southwest LA Charter'!O71-'Table 5C1H-Southwest LA Charter'!R71</f>
        <v>0</v>
      </c>
      <c r="N70" s="359">
        <f>-'Table 5C1I-LA Key Academy'!O71+'Table 5C1I-LA Key Academy'!R71</f>
        <v>0</v>
      </c>
      <c r="O70" s="359">
        <f>-'Table 5C1J-Jefferson Chamber'!O71+'Table 5C1J-Jefferson Chamber'!R71</f>
        <v>0</v>
      </c>
      <c r="P70" s="359">
        <f>-'Table 5C1K-Tallulah Charter'!O71+'Table 5C1K-Tallulah Charter'!R71</f>
        <v>0</v>
      </c>
      <c r="Q70" s="359">
        <f>-'Table 5C1L-Northshore Charter'!O71+'Table 5C1L-Northshore Charter'!R71</f>
        <v>0</v>
      </c>
      <c r="R70" s="359">
        <f>-'Table 5C1M-EBR Charter'!O71+'Table 5C1M-EBR Charter'!R71</f>
        <v>0</v>
      </c>
      <c r="S70" s="359">
        <f>-'Table 5C1N-Delta Charter'!O71+'Table 5C1N-Delta Charter'!R71</f>
        <v>0</v>
      </c>
      <c r="T70" s="359">
        <f>-'Table 5C2 - LA Virtual Admy'!P68-'Table 5C2 - LA Virtual Admy'!S68</f>
        <v>8415</v>
      </c>
      <c r="U70" s="359">
        <f>-'Table 5C3 - LA Connections EBR'!P68-'Table 5C3 - LA Connections EBR'!S68</f>
        <v>-18003.600000000002</v>
      </c>
      <c r="V70" s="359">
        <f>-'Table 5E_OJJ'!P71-'Table 5E_OJJ'!Q71</f>
        <v>-3537.0617293770993</v>
      </c>
      <c r="W70" s="359">
        <f t="shared" ref="W70:W74" si="21">SUM(D70:V70)</f>
        <v>-28128.661729377101</v>
      </c>
      <c r="X70" s="737">
        <f t="shared" si="20"/>
        <v>44542332.33827062</v>
      </c>
      <c r="AA70" s="49"/>
      <c r="AD70"/>
      <c r="AM70"/>
    </row>
    <row r="71" spans="1:39">
      <c r="A71" s="134">
        <v>66</v>
      </c>
      <c r="B71" s="304" t="s">
        <v>157</v>
      </c>
      <c r="C71" s="313">
        <f>'Table 2_State Distrib and Adjs'!X72</f>
        <v>14338563</v>
      </c>
      <c r="D71" s="360"/>
      <c r="E71" s="360"/>
      <c r="F71" s="360">
        <f>-'Table 5C1A-Madison Prep'!O72-'Table 5C1A-Madison Prep'!R72</f>
        <v>0</v>
      </c>
      <c r="G71" s="360">
        <f>-'Table 5C1B-DArbonne'!O72-'Table 5C1B-DArbonne'!R72</f>
        <v>0</v>
      </c>
      <c r="H71" s="360">
        <f>-'Table 5C1C-Intl_VIBE'!O72-'Table 5C1C-Intl_VIBE'!R72</f>
        <v>0</v>
      </c>
      <c r="I71" s="360">
        <f>-'Table 5C1D-NOMMA'!O72-'Table 5C1D-NOMMA'!R72</f>
        <v>0</v>
      </c>
      <c r="J71" s="360">
        <f>-'Table 5C1E-LFNO'!Q72-'Table 5C1E-LFNO'!T72</f>
        <v>0</v>
      </c>
      <c r="K71" s="360">
        <f>-'Table 5C1F-Lake Charles Charter'!O72-'Table 5C1F-Lake Charles Charter'!R72</f>
        <v>0</v>
      </c>
      <c r="L71" s="360">
        <f>-'Table 5C1G-JS Clark Academy'!O72-'Table 5C1G-JS Clark Academy'!R72</f>
        <v>0</v>
      </c>
      <c r="M71" s="360">
        <f>-'Table 5C1H-Southwest LA Charter'!O72-'Table 5C1H-Southwest LA Charter'!R72</f>
        <v>0</v>
      </c>
      <c r="N71" s="360">
        <f>-'Table 5C1I-LA Key Academy'!O72+'Table 5C1I-LA Key Academy'!R72</f>
        <v>0</v>
      </c>
      <c r="O71" s="360">
        <f>-'Table 5C1J-Jefferson Chamber'!O72+'Table 5C1J-Jefferson Chamber'!R72</f>
        <v>0</v>
      </c>
      <c r="P71" s="360">
        <f>-'Table 5C1K-Tallulah Charter'!O72+'Table 5C1K-Tallulah Charter'!R72</f>
        <v>0</v>
      </c>
      <c r="Q71" s="360">
        <f>-'Table 5C1L-Northshore Charter'!O72+'Table 5C1L-Northshore Charter'!R72</f>
        <v>-392725</v>
      </c>
      <c r="R71" s="360">
        <f>-'Table 5C1M-EBR Charter'!O72+'Table 5C1M-EBR Charter'!R72</f>
        <v>0</v>
      </c>
      <c r="S71" s="360">
        <f>-'Table 5C1N-Delta Charter'!O72+'Table 5C1N-Delta Charter'!R72</f>
        <v>0</v>
      </c>
      <c r="T71" s="360">
        <f>-'Table 5C2 - LA Virtual Admy'!P69-'Table 5C2 - LA Virtual Admy'!S69</f>
        <v>-3050.0999999999995</v>
      </c>
      <c r="U71" s="360">
        <f>-'Table 5C3 - LA Connections EBR'!P69-'Table 5C3 - LA Connections EBR'!S69</f>
        <v>-6147</v>
      </c>
      <c r="V71" s="360">
        <f>-'Table 5E_OJJ'!P72-'Table 5E_OJJ'!Q72</f>
        <v>-2632.385708559344</v>
      </c>
      <c r="W71" s="360">
        <f t="shared" si="21"/>
        <v>-404554.48570855934</v>
      </c>
      <c r="X71" s="739">
        <f t="shared" si="20"/>
        <v>13934008.514291441</v>
      </c>
      <c r="AA71" s="49"/>
      <c r="AD71"/>
      <c r="AM71"/>
    </row>
    <row r="72" spans="1:39">
      <c r="A72" s="350">
        <v>67</v>
      </c>
      <c r="B72" s="305" t="s">
        <v>32</v>
      </c>
      <c r="C72" s="311">
        <f>'Table 2_State Distrib and Adjs'!X73</f>
        <v>28857438</v>
      </c>
      <c r="D72" s="358"/>
      <c r="E72" s="358"/>
      <c r="F72" s="358">
        <f>-'Table 5C1A-Madison Prep'!O73-'Table 5C1A-Madison Prep'!R73</f>
        <v>-10442</v>
      </c>
      <c r="G72" s="358">
        <f>-'Table 5C1B-DArbonne'!O73-'Table 5C1B-DArbonne'!R73</f>
        <v>0</v>
      </c>
      <c r="H72" s="358">
        <f>-'Table 5C1C-Intl_VIBE'!O73-'Table 5C1C-Intl_VIBE'!R73</f>
        <v>0</v>
      </c>
      <c r="I72" s="358">
        <f>-'Table 5C1D-NOMMA'!O73-'Table 5C1D-NOMMA'!R73</f>
        <v>0</v>
      </c>
      <c r="J72" s="358">
        <f>-'Table 5C1E-LFNO'!Q73-'Table 5C1E-LFNO'!T73</f>
        <v>0</v>
      </c>
      <c r="K72" s="358">
        <f>-'Table 5C1F-Lake Charles Charter'!O73-'Table 5C1F-Lake Charles Charter'!R73</f>
        <v>0</v>
      </c>
      <c r="L72" s="358">
        <f>-'Table 5C1G-JS Clark Academy'!O73-'Table 5C1G-JS Clark Academy'!R73</f>
        <v>0</v>
      </c>
      <c r="M72" s="358">
        <f>-'Table 5C1H-Southwest LA Charter'!O73-'Table 5C1H-Southwest LA Charter'!R73</f>
        <v>0</v>
      </c>
      <c r="N72" s="358">
        <f>-'Table 5C1I-LA Key Academy'!O73+'Table 5C1I-LA Key Academy'!R73</f>
        <v>0</v>
      </c>
      <c r="O72" s="358">
        <f>-'Table 5C1J-Jefferson Chamber'!O73+'Table 5C1J-Jefferson Chamber'!R73</f>
        <v>0</v>
      </c>
      <c r="P72" s="358">
        <f>-'Table 5C1K-Tallulah Charter'!O73+'Table 5C1K-Tallulah Charter'!R73</f>
        <v>0</v>
      </c>
      <c r="Q72" s="358">
        <f>-'Table 5C1L-Northshore Charter'!O73+'Table 5C1L-Northshore Charter'!R73</f>
        <v>0</v>
      </c>
      <c r="R72" s="358">
        <f>-'Table 5C1M-EBR Charter'!O73+'Table 5C1M-EBR Charter'!R73</f>
        <v>0</v>
      </c>
      <c r="S72" s="358">
        <f>-'Table 5C1N-Delta Charter'!O73+'Table 5C1N-Delta Charter'!R73</f>
        <v>0</v>
      </c>
      <c r="T72" s="358">
        <f>-'Table 5C2 - LA Virtual Admy'!P70-'Table 5C2 - LA Virtual Admy'!S70</f>
        <v>-776.70000000000027</v>
      </c>
      <c r="U72" s="358">
        <f>-'Table 5C3 - LA Connections EBR'!P70-'Table 5C3 - LA Connections EBR'!S70</f>
        <v>-14096.7</v>
      </c>
      <c r="V72" s="358">
        <f>-'Table 5E_OJJ'!P73-'Table 5E_OJJ'!Q73</f>
        <v>0</v>
      </c>
      <c r="W72" s="358">
        <f t="shared" si="21"/>
        <v>-25315.4</v>
      </c>
      <c r="X72" s="736">
        <f t="shared" si="20"/>
        <v>28832122.600000001</v>
      </c>
      <c r="AA72" s="49"/>
      <c r="AD72"/>
      <c r="AM72"/>
    </row>
    <row r="73" spans="1:39">
      <c r="A73" s="99">
        <v>68</v>
      </c>
      <c r="B73" s="302" t="s">
        <v>30</v>
      </c>
      <c r="C73" s="311">
        <f>'Table 2_State Distrib and Adjs'!X74</f>
        <v>11703384</v>
      </c>
      <c r="D73" s="358"/>
      <c r="E73" s="358"/>
      <c r="F73" s="358">
        <f>-'Table 5C1A-Madison Prep'!O74-'Table 5C1A-Madison Prep'!R74</f>
        <v>-10720</v>
      </c>
      <c r="G73" s="358">
        <f>-'Table 5C1B-DArbonne'!O74-'Table 5C1B-DArbonne'!R74</f>
        <v>0</v>
      </c>
      <c r="H73" s="358">
        <f>-'Table 5C1C-Intl_VIBE'!O74-'Table 5C1C-Intl_VIBE'!R74</f>
        <v>0</v>
      </c>
      <c r="I73" s="358">
        <f>-'Table 5C1D-NOMMA'!O74-'Table 5C1D-NOMMA'!R74</f>
        <v>0</v>
      </c>
      <c r="J73" s="358">
        <f>-'Table 5C1E-LFNO'!Q74-'Table 5C1E-LFNO'!T74</f>
        <v>0</v>
      </c>
      <c r="K73" s="358">
        <f>-'Table 5C1F-Lake Charles Charter'!O74-'Table 5C1F-Lake Charles Charter'!R74</f>
        <v>0</v>
      </c>
      <c r="L73" s="358">
        <f>-'Table 5C1G-JS Clark Academy'!O74-'Table 5C1G-JS Clark Academy'!R74</f>
        <v>0</v>
      </c>
      <c r="M73" s="358">
        <f>-'Table 5C1H-Southwest LA Charter'!O74-'Table 5C1H-Southwest LA Charter'!R74</f>
        <v>0</v>
      </c>
      <c r="N73" s="358">
        <f>-'Table 5C1I-LA Key Academy'!O74+'Table 5C1I-LA Key Academy'!R74</f>
        <v>0</v>
      </c>
      <c r="O73" s="358">
        <f>-'Table 5C1J-Jefferson Chamber'!O74+'Table 5C1J-Jefferson Chamber'!R74</f>
        <v>0</v>
      </c>
      <c r="P73" s="358">
        <f>-'Table 5C1K-Tallulah Charter'!O74+'Table 5C1K-Tallulah Charter'!R74</f>
        <v>0</v>
      </c>
      <c r="Q73" s="358">
        <f>-'Table 5C1L-Northshore Charter'!O74+'Table 5C1L-Northshore Charter'!R74</f>
        <v>0</v>
      </c>
      <c r="R73" s="358">
        <f>-'Table 5C1M-EBR Charter'!O74+'Table 5C1M-EBR Charter'!R74</f>
        <v>-16080</v>
      </c>
      <c r="S73" s="358">
        <f>-'Table 5C1N-Delta Charter'!O74+'Table 5C1N-Delta Charter'!R74</f>
        <v>0</v>
      </c>
      <c r="T73" s="358">
        <f>-'Table 5C2 - LA Virtual Admy'!P71-'Table 5C2 - LA Virtual Admy'!S71</f>
        <v>-5931</v>
      </c>
      <c r="U73" s="358">
        <f>-'Table 5C3 - LA Connections EBR'!P71-'Table 5C3 - LA Connections EBR'!S71</f>
        <v>-26532</v>
      </c>
      <c r="V73" s="358">
        <f>-'Table 5E_OJJ'!P74-'Table 5E_OJJ'!Q74</f>
        <v>0</v>
      </c>
      <c r="W73" s="358">
        <f t="shared" si="21"/>
        <v>-59263</v>
      </c>
      <c r="X73" s="736">
        <f t="shared" si="20"/>
        <v>11644121</v>
      </c>
      <c r="AA73" s="49"/>
      <c r="AD73"/>
      <c r="AM73"/>
    </row>
    <row r="74" spans="1:39">
      <c r="A74" s="100">
        <v>69</v>
      </c>
      <c r="B74" s="303" t="s">
        <v>208</v>
      </c>
      <c r="C74" s="319">
        <f>'Table 2_State Distrib and Adjs'!X75</f>
        <v>26323967</v>
      </c>
      <c r="D74" s="359"/>
      <c r="E74" s="359"/>
      <c r="F74" s="359">
        <f>-'Table 5C1A-Madison Prep'!O75-'Table 5C1A-Madison Prep'!R75</f>
        <v>0</v>
      </c>
      <c r="G74" s="359">
        <f>-'Table 5C1B-DArbonne'!O75-'Table 5C1B-DArbonne'!R75</f>
        <v>0</v>
      </c>
      <c r="H74" s="359">
        <f>-'Table 5C1C-Intl_VIBE'!O75-'Table 5C1C-Intl_VIBE'!R75</f>
        <v>0</v>
      </c>
      <c r="I74" s="359">
        <f>-'Table 5C1D-NOMMA'!O75-'Table 5C1D-NOMMA'!R75</f>
        <v>0</v>
      </c>
      <c r="J74" s="359">
        <f>-'Table 5C1E-LFNO'!Q75-'Table 5C1E-LFNO'!T75</f>
        <v>0</v>
      </c>
      <c r="K74" s="359">
        <f>-'Table 5C1F-Lake Charles Charter'!O75-'Table 5C1F-Lake Charles Charter'!R75</f>
        <v>0</v>
      </c>
      <c r="L74" s="359">
        <f>-'Table 5C1G-JS Clark Academy'!O75-'Table 5C1G-JS Clark Academy'!R75</f>
        <v>0</v>
      </c>
      <c r="M74" s="359">
        <f>-'Table 5C1H-Southwest LA Charter'!O75-'Table 5C1H-Southwest LA Charter'!R75</f>
        <v>0</v>
      </c>
      <c r="N74" s="359">
        <f>-'Table 5C1I-LA Key Academy'!O75+'Table 5C1I-LA Key Academy'!R75</f>
        <v>0</v>
      </c>
      <c r="O74" s="359">
        <f>-'Table 5C1J-Jefferson Chamber'!O75+'Table 5C1J-Jefferson Chamber'!R75</f>
        <v>0</v>
      </c>
      <c r="P74" s="359">
        <f>-'Table 5C1K-Tallulah Charter'!O75+'Table 5C1K-Tallulah Charter'!R75</f>
        <v>0</v>
      </c>
      <c r="Q74" s="359">
        <f>-'Table 5C1L-Northshore Charter'!O75+'Table 5C1L-Northshore Charter'!R75</f>
        <v>0</v>
      </c>
      <c r="R74" s="359">
        <f>-'Table 5C1M-EBR Charter'!O75+'Table 5C1M-EBR Charter'!R75</f>
        <v>0</v>
      </c>
      <c r="S74" s="359">
        <f>-'Table 5C1N-Delta Charter'!O75+'Table 5C1N-Delta Charter'!R75</f>
        <v>0</v>
      </c>
      <c r="T74" s="359">
        <f>-'Table 5C2 - LA Virtual Admy'!P72-'Table 5C2 - LA Virtual Admy'!S72</f>
        <v>-28008.9</v>
      </c>
      <c r="U74" s="359">
        <f>-'Table 5C3 - LA Connections EBR'!P72-'Table 5C3 - LA Connections EBR'!S72</f>
        <v>-5873.4000000000005</v>
      </c>
      <c r="V74" s="359">
        <f>-'Table 5E_OJJ'!P75-'Table 5E_OJJ'!Q75</f>
        <v>0</v>
      </c>
      <c r="W74" s="359">
        <f t="shared" si="21"/>
        <v>-33882.300000000003</v>
      </c>
      <c r="X74" s="737">
        <f t="shared" si="20"/>
        <v>26290084.700000003</v>
      </c>
      <c r="AA74" s="49"/>
      <c r="AD74"/>
      <c r="AM74"/>
    </row>
    <row r="75" spans="1:39" ht="13.5" thickBot="1">
      <c r="A75" s="413"/>
      <c r="B75" s="414" t="s">
        <v>158</v>
      </c>
      <c r="C75" s="740">
        <f t="shared" ref="C75:X75" si="22">SUM(C6:C74)</f>
        <v>3242439800</v>
      </c>
      <c r="D75" s="740">
        <f t="shared" si="22"/>
        <v>-17132161</v>
      </c>
      <c r="E75" s="740">
        <f t="shared" si="22"/>
        <v>-135902763.5</v>
      </c>
      <c r="F75" s="740">
        <f t="shared" si="22"/>
        <v>-1421116</v>
      </c>
      <c r="G75" s="740">
        <f t="shared" si="22"/>
        <v>-1546669</v>
      </c>
      <c r="H75" s="740">
        <f t="shared" si="22"/>
        <v>-2116015</v>
      </c>
      <c r="I75" s="740">
        <f t="shared" si="22"/>
        <v>-1249784</v>
      </c>
      <c r="J75" s="740">
        <f t="shared" si="22"/>
        <v>-1112180</v>
      </c>
      <c r="K75" s="740">
        <f t="shared" si="22"/>
        <v>-3389195</v>
      </c>
      <c r="L75" s="740">
        <f t="shared" si="22"/>
        <v>-389635</v>
      </c>
      <c r="M75" s="740">
        <f t="shared" si="22"/>
        <v>-2373763</v>
      </c>
      <c r="N75" s="740">
        <f t="shared" si="22"/>
        <v>-876176</v>
      </c>
      <c r="O75" s="740">
        <f t="shared" si="22"/>
        <v>-540557</v>
      </c>
      <c r="P75" s="740">
        <f t="shared" si="22"/>
        <v>-614568</v>
      </c>
      <c r="Q75" s="740">
        <f t="shared" si="22"/>
        <v>-566375</v>
      </c>
      <c r="R75" s="740">
        <f t="shared" si="22"/>
        <v>-4128592</v>
      </c>
      <c r="S75" s="740">
        <f t="shared" si="22"/>
        <v>-838703</v>
      </c>
      <c r="T75" s="740">
        <f>SUM(T6:T74)</f>
        <v>-4289575.5</v>
      </c>
      <c r="U75" s="740">
        <f>SUM(U6:U74)</f>
        <v>-4639681.8</v>
      </c>
      <c r="V75" s="740">
        <f t="shared" si="22"/>
        <v>-1003455.7485338153</v>
      </c>
      <c r="W75" s="740">
        <f>SUM(W6:W74)</f>
        <v>-184130965.54853383</v>
      </c>
      <c r="X75" s="741">
        <f t="shared" si="22"/>
        <v>3058308834.4514666</v>
      </c>
      <c r="AA75" s="49"/>
      <c r="AD75"/>
      <c r="AM75"/>
    </row>
    <row r="76" spans="1:39" ht="13.5" thickTop="1">
      <c r="Z76" s="97"/>
      <c r="AA76" s="97"/>
      <c r="AB76" s="97"/>
      <c r="AC76" s="97"/>
      <c r="AD76" s="97"/>
      <c r="AE76" s="97"/>
      <c r="AF76" s="97"/>
      <c r="AG76" s="97"/>
      <c r="AH76" s="97"/>
      <c r="AK76" s="97"/>
    </row>
    <row r="77" spans="1:39">
      <c r="X77" s="49">
        <f>SUM(C75:V75)</f>
        <v>3058308834.4514661</v>
      </c>
    </row>
    <row r="78" spans="1:39" ht="9.75" customHeight="1">
      <c r="Z78" s="49"/>
      <c r="AA78" s="49"/>
      <c r="AB78" s="49"/>
      <c r="AC78" s="49"/>
      <c r="AE78" s="49"/>
      <c r="AF78" s="49"/>
      <c r="AG78" s="49"/>
      <c r="AH78" s="49"/>
      <c r="AK78" s="49"/>
    </row>
    <row r="79" spans="1:39" ht="9.75" customHeight="1">
      <c r="C79" s="35"/>
      <c r="D79" s="1868"/>
      <c r="E79" s="1868"/>
      <c r="F79" s="1868"/>
      <c r="G79" s="1868"/>
      <c r="H79" s="1868"/>
      <c r="I79" s="1868"/>
    </row>
    <row r="80" spans="1:39" ht="57.75" customHeight="1">
      <c r="C80" s="1869"/>
      <c r="D80" s="1868"/>
      <c r="E80" s="1868"/>
      <c r="F80" s="1868"/>
      <c r="G80" s="1868"/>
      <c r="H80" s="1868"/>
      <c r="I80" s="1868"/>
    </row>
    <row r="81" spans="3:9">
      <c r="C81" s="35"/>
      <c r="D81" s="1868"/>
      <c r="E81" s="1868"/>
      <c r="F81" s="1868"/>
      <c r="G81" s="1868"/>
      <c r="H81" s="1868"/>
      <c r="I81" s="1868"/>
    </row>
  </sheetData>
  <mergeCells count="25">
    <mergeCell ref="X1:X4"/>
    <mergeCell ref="L1:L4"/>
    <mergeCell ref="M1:M4"/>
    <mergeCell ref="T1:T4"/>
    <mergeCell ref="U1:U4"/>
    <mergeCell ref="V1:V4"/>
    <mergeCell ref="W1:W4"/>
    <mergeCell ref="N1:N4"/>
    <mergeCell ref="O1:O4"/>
    <mergeCell ref="P1:P4"/>
    <mergeCell ref="Q1:Q4"/>
    <mergeCell ref="R1:R4"/>
    <mergeCell ref="S1:S4"/>
    <mergeCell ref="D79:I81"/>
    <mergeCell ref="A1:A4"/>
    <mergeCell ref="B1:B4"/>
    <mergeCell ref="C1:C4"/>
    <mergeCell ref="D1:D4"/>
    <mergeCell ref="E1:E4"/>
    <mergeCell ref="K1:K4"/>
    <mergeCell ref="F1:F4"/>
    <mergeCell ref="G1:G4"/>
    <mergeCell ref="H1:H4"/>
    <mergeCell ref="I1:I4"/>
    <mergeCell ref="J1:J4"/>
  </mergeCells>
  <printOptions horizontalCentered="1"/>
  <pageMargins left="0.25" right="0.25" top="1.01" bottom="0.75" header="0.3" footer="0.3"/>
  <pageSetup paperSize="5" scale="70" firstPageNumber="7" orientation="portrait" useFirstPageNumber="1" r:id="rId1"/>
  <headerFooter>
    <oddHeader xml:space="preserve">&amp;L&amp;"Arial,Bold"&amp;14Table 2A-1:  FY2013-14 Budget Letter 
MFP Transfer Amount (Annual) 
</oddHeader>
    <oddFooter>&amp;R&amp;P</oddFooter>
  </headerFooter>
  <colBreaks count="3" manualBreakCount="3">
    <brk id="5" max="76" man="1"/>
    <brk id="13" max="76" man="1"/>
    <brk id="21" max="76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6"/>
  <sheetViews>
    <sheetView view="pageBreakPreview" topLeftCell="A3" zoomScaleNormal="85" zoomScaleSheetLayoutView="100" workbookViewId="0">
      <pane xSplit="2" ySplit="4" topLeftCell="C61" activePane="bottomRight" state="frozen"/>
      <selection activeCell="J97" sqref="J97"/>
      <selection pane="topRight" activeCell="J97" sqref="J97"/>
      <selection pane="bottomLeft" activeCell="J97" sqref="J97"/>
      <selection pane="bottomRight" activeCell="AI78" sqref="AI78"/>
    </sheetView>
  </sheetViews>
  <sheetFormatPr defaultRowHeight="12.75"/>
  <cols>
    <col min="1" max="1" width="4.7109375" customWidth="1"/>
    <col min="2" max="2" width="18.5703125" customWidth="1"/>
    <col min="3" max="3" width="16" customWidth="1"/>
    <col min="4" max="4" width="14.85546875" customWidth="1"/>
    <col min="5" max="5" width="15.7109375" customWidth="1"/>
    <col min="6" max="6" width="15.28515625" customWidth="1"/>
    <col min="7" max="7" width="9" customWidth="1"/>
    <col min="8" max="8" width="15.85546875" customWidth="1"/>
    <col min="9" max="9" width="10.42578125" bestFit="1" customWidth="1"/>
    <col min="10" max="10" width="13.140625" bestFit="1" customWidth="1"/>
    <col min="11" max="11" width="10.42578125" bestFit="1" customWidth="1"/>
    <col min="12" max="12" width="13" customWidth="1"/>
    <col min="13" max="15" width="8.28515625" bestFit="1" customWidth="1"/>
    <col min="16" max="16" width="11.7109375" bestFit="1" customWidth="1"/>
    <col min="17" max="17" width="15.42578125" customWidth="1"/>
    <col min="18" max="18" width="7.85546875" customWidth="1"/>
    <col min="19" max="19" width="17.140625" bestFit="1" customWidth="1"/>
    <col min="20" max="21" width="10.7109375" customWidth="1"/>
    <col min="22" max="22" width="9.140625" customWidth="1"/>
    <col min="23" max="23" width="16.5703125" bestFit="1" customWidth="1"/>
    <col min="24" max="24" width="13" bestFit="1" customWidth="1"/>
    <col min="25" max="25" width="12.85546875" customWidth="1"/>
    <col min="26" max="26" width="14.42578125" customWidth="1"/>
    <col min="27" max="27" width="12.85546875" customWidth="1"/>
    <col min="28" max="30" width="10.7109375" customWidth="1"/>
    <col min="31" max="31" width="16.140625" customWidth="1"/>
    <col min="32" max="32" width="10.5703125" customWidth="1"/>
    <col min="33" max="33" width="16.42578125" bestFit="1" customWidth="1"/>
    <col min="34" max="34" width="15.42578125" bestFit="1" customWidth="1"/>
    <col min="35" max="35" width="18.42578125" customWidth="1"/>
    <col min="36" max="36" width="16.85546875" bestFit="1" customWidth="1"/>
    <col min="37" max="37" width="17.42578125" bestFit="1" customWidth="1"/>
    <col min="38" max="38" width="12.28515625" bestFit="1" customWidth="1"/>
    <col min="39" max="39" width="20.140625" bestFit="1" customWidth="1"/>
    <col min="40" max="41" width="13.42578125" bestFit="1" customWidth="1"/>
    <col min="42" max="42" width="23.85546875" customWidth="1"/>
    <col min="43" max="43" width="19.140625" bestFit="1" customWidth="1"/>
    <col min="44" max="44" width="14.42578125" bestFit="1" customWidth="1"/>
    <col min="45" max="45" width="10.42578125" bestFit="1" customWidth="1"/>
  </cols>
  <sheetData>
    <row r="1" spans="1:44" ht="20.25" hidden="1">
      <c r="A1" s="48" t="s">
        <v>198</v>
      </c>
      <c r="B1" s="151"/>
      <c r="C1" s="152"/>
      <c r="D1" s="153"/>
      <c r="E1" s="153"/>
      <c r="F1" s="153"/>
      <c r="G1" s="153"/>
      <c r="H1" s="153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142"/>
      <c r="AF1" s="143"/>
      <c r="AG1" s="2"/>
      <c r="AH1" s="2"/>
      <c r="AI1" s="2"/>
      <c r="AJ1" s="2"/>
      <c r="AK1" s="2"/>
      <c r="AL1" s="2"/>
      <c r="AM1" s="2"/>
      <c r="AN1" s="2"/>
      <c r="AO1" s="2"/>
      <c r="AP1" s="144"/>
      <c r="AQ1" s="2"/>
    </row>
    <row r="2" spans="1:44" ht="40.5" hidden="1">
      <c r="A2" s="48"/>
      <c r="C2" s="1835" t="s">
        <v>25</v>
      </c>
      <c r="D2" s="1836"/>
      <c r="E2" s="126"/>
      <c r="F2" s="126"/>
      <c r="G2" s="126"/>
      <c r="H2" s="126"/>
      <c r="I2" s="151" t="s">
        <v>39</v>
      </c>
      <c r="J2" s="151" t="s">
        <v>40</v>
      </c>
      <c r="K2" s="151" t="s">
        <v>41</v>
      </c>
      <c r="L2" s="151" t="s">
        <v>42</v>
      </c>
      <c r="M2" s="151" t="s">
        <v>43</v>
      </c>
      <c r="N2" s="151" t="s">
        <v>44</v>
      </c>
      <c r="O2" s="151" t="s">
        <v>45</v>
      </c>
      <c r="P2" s="151" t="s">
        <v>46</v>
      </c>
      <c r="Q2" s="126" t="s">
        <v>23</v>
      </c>
      <c r="R2" s="151" t="s">
        <v>47</v>
      </c>
      <c r="S2" s="151" t="s">
        <v>48</v>
      </c>
      <c r="T2" s="151" t="s">
        <v>49</v>
      </c>
      <c r="U2" s="151" t="s">
        <v>50</v>
      </c>
      <c r="V2" s="151" t="s">
        <v>51</v>
      </c>
      <c r="W2" s="151" t="s">
        <v>52</v>
      </c>
      <c r="X2" s="126" t="s">
        <v>24</v>
      </c>
      <c r="Y2" s="126" t="s">
        <v>33</v>
      </c>
      <c r="Z2" s="126" t="s">
        <v>34</v>
      </c>
      <c r="AA2" s="126" t="s">
        <v>35</v>
      </c>
      <c r="AB2" s="126" t="s">
        <v>36</v>
      </c>
      <c r="AC2" s="126" t="s">
        <v>37</v>
      </c>
      <c r="AD2" s="126" t="s">
        <v>26</v>
      </c>
      <c r="AE2" s="289"/>
      <c r="AF2" s="119" t="s">
        <v>68</v>
      </c>
      <c r="AG2" s="119" t="s">
        <v>69</v>
      </c>
      <c r="AH2" s="118" t="s">
        <v>187</v>
      </c>
      <c r="AI2" s="118"/>
      <c r="AJ2" s="120"/>
      <c r="AK2" s="120" t="s">
        <v>27</v>
      </c>
      <c r="AL2" s="179"/>
      <c r="AM2" s="179"/>
      <c r="AN2" s="126" t="s">
        <v>28</v>
      </c>
      <c r="AO2" s="126" t="s">
        <v>29</v>
      </c>
      <c r="AP2" s="131" t="s">
        <v>75</v>
      </c>
      <c r="AQ2" s="165" t="s">
        <v>21</v>
      </c>
      <c r="AR2" s="131" t="s">
        <v>76</v>
      </c>
    </row>
    <row r="3" spans="1:44" ht="39.75" customHeight="1">
      <c r="A3" s="1583" t="s">
        <v>185</v>
      </c>
      <c r="B3" s="1583" t="s">
        <v>2</v>
      </c>
      <c r="C3" s="1837" t="s">
        <v>552</v>
      </c>
      <c r="D3" s="1838"/>
      <c r="E3" s="1839"/>
      <c r="F3" s="1839"/>
      <c r="G3" s="1839"/>
      <c r="H3" s="1840"/>
      <c r="I3" s="1822" t="s">
        <v>3</v>
      </c>
      <c r="J3" s="1824"/>
      <c r="K3" s="1829" t="s">
        <v>53</v>
      </c>
      <c r="L3" s="1830"/>
      <c r="M3" s="1830"/>
      <c r="N3" s="1830"/>
      <c r="O3" s="1830"/>
      <c r="P3" s="1831"/>
      <c r="Q3" s="1826" t="s">
        <v>220</v>
      </c>
      <c r="R3" s="1829" t="s">
        <v>54</v>
      </c>
      <c r="S3" s="1830"/>
      <c r="T3" s="1830"/>
      <c r="U3" s="1830"/>
      <c r="V3" s="1830"/>
      <c r="W3" s="1831"/>
      <c r="X3" s="1826" t="s">
        <v>55</v>
      </c>
      <c r="Y3" s="1829" t="s">
        <v>38</v>
      </c>
      <c r="Z3" s="1830"/>
      <c r="AA3" s="1830"/>
      <c r="AB3" s="1830"/>
      <c r="AC3" s="1830"/>
      <c r="AD3" s="1830"/>
      <c r="AE3" s="1826" t="s">
        <v>555</v>
      </c>
      <c r="AF3" s="1829" t="s">
        <v>71</v>
      </c>
      <c r="AG3" s="1830"/>
      <c r="AH3" s="1830"/>
      <c r="AI3" s="1826" t="s">
        <v>556</v>
      </c>
      <c r="AJ3" s="1829" t="s">
        <v>90</v>
      </c>
      <c r="AK3" s="1830"/>
      <c r="AL3" s="1830"/>
      <c r="AM3" s="1830"/>
      <c r="AN3" s="1830"/>
      <c r="AO3" s="1831"/>
      <c r="AP3" s="1845" t="s">
        <v>548</v>
      </c>
      <c r="AQ3" s="1844" t="s">
        <v>239</v>
      </c>
      <c r="AR3" s="1841" t="s">
        <v>250</v>
      </c>
    </row>
    <row r="4" spans="1:44" ht="71.25" customHeight="1">
      <c r="A4" s="1820"/>
      <c r="B4" s="1820"/>
      <c r="C4" s="1825" t="s">
        <v>549</v>
      </c>
      <c r="D4" s="1825" t="s">
        <v>550</v>
      </c>
      <c r="E4" s="1583" t="s">
        <v>551</v>
      </c>
      <c r="F4" s="1825" t="s">
        <v>553</v>
      </c>
      <c r="G4" s="1825" t="s">
        <v>209</v>
      </c>
      <c r="H4" s="1230" t="s">
        <v>554</v>
      </c>
      <c r="I4" s="1832" t="s">
        <v>7</v>
      </c>
      <c r="J4" s="1832" t="s">
        <v>56</v>
      </c>
      <c r="K4" s="1832" t="s">
        <v>7</v>
      </c>
      <c r="L4" s="1832" t="s">
        <v>56</v>
      </c>
      <c r="M4" s="1832" t="s">
        <v>57</v>
      </c>
      <c r="N4" s="1832" t="s">
        <v>58</v>
      </c>
      <c r="O4" s="1832" t="s">
        <v>59</v>
      </c>
      <c r="P4" s="1832" t="s">
        <v>232</v>
      </c>
      <c r="Q4" s="1827"/>
      <c r="R4" s="1832" t="s">
        <v>7</v>
      </c>
      <c r="S4" s="1832" t="s">
        <v>12</v>
      </c>
      <c r="T4" s="1832" t="s">
        <v>8</v>
      </c>
      <c r="U4" s="1832" t="s">
        <v>9</v>
      </c>
      <c r="V4" s="1832" t="s">
        <v>10</v>
      </c>
      <c r="W4" s="1832" t="s">
        <v>11</v>
      </c>
      <c r="X4" s="1827"/>
      <c r="Y4" s="1832" t="s">
        <v>17</v>
      </c>
      <c r="Z4" s="1832" t="s">
        <v>16</v>
      </c>
      <c r="AA4" s="1832" t="s">
        <v>15</v>
      </c>
      <c r="AB4" s="1832" t="s">
        <v>14</v>
      </c>
      <c r="AC4" s="1832" t="s">
        <v>13</v>
      </c>
      <c r="AD4" s="1832" t="s">
        <v>18</v>
      </c>
      <c r="AE4" s="1827"/>
      <c r="AF4" s="1834" t="s">
        <v>4</v>
      </c>
      <c r="AG4" s="1834" t="s">
        <v>5</v>
      </c>
      <c r="AH4" s="1834" t="s">
        <v>6</v>
      </c>
      <c r="AI4" s="1827"/>
      <c r="AJ4" s="1833" t="s">
        <v>546</v>
      </c>
      <c r="AK4" s="1833" t="s">
        <v>547</v>
      </c>
      <c r="AL4" s="1833" t="s">
        <v>203</v>
      </c>
      <c r="AM4" s="374" t="s">
        <v>88</v>
      </c>
      <c r="AN4" s="1834" t="s">
        <v>91</v>
      </c>
      <c r="AO4" s="1834" t="s">
        <v>19</v>
      </c>
      <c r="AP4" s="1846"/>
      <c r="AQ4" s="1842"/>
      <c r="AR4" s="1842"/>
    </row>
    <row r="5" spans="1:44" s="426" customFormat="1" ht="16.5" customHeight="1">
      <c r="A5" s="1821"/>
      <c r="B5" s="1821"/>
      <c r="C5" s="1825"/>
      <c r="D5" s="1825"/>
      <c r="E5" s="1585"/>
      <c r="F5" s="1825"/>
      <c r="G5" s="1825"/>
      <c r="H5" s="589">
        <v>0.1</v>
      </c>
      <c r="I5" s="1832"/>
      <c r="J5" s="1832"/>
      <c r="K5" s="1832"/>
      <c r="L5" s="1832"/>
      <c r="M5" s="1832"/>
      <c r="N5" s="1832"/>
      <c r="O5" s="1832"/>
      <c r="P5" s="1832"/>
      <c r="Q5" s="1828"/>
      <c r="R5" s="1832"/>
      <c r="S5" s="1832"/>
      <c r="T5" s="1832"/>
      <c r="U5" s="1832"/>
      <c r="V5" s="1832"/>
      <c r="W5" s="1832"/>
      <c r="X5" s="1828"/>
      <c r="Y5" s="1832"/>
      <c r="Z5" s="1832"/>
      <c r="AA5" s="1832"/>
      <c r="AB5" s="1832"/>
      <c r="AC5" s="1832"/>
      <c r="AD5" s="1832"/>
      <c r="AE5" s="1828"/>
      <c r="AF5" s="1834"/>
      <c r="AG5" s="1834"/>
      <c r="AH5" s="1834"/>
      <c r="AI5" s="1828"/>
      <c r="AJ5" s="1833"/>
      <c r="AK5" s="1833"/>
      <c r="AL5" s="1833"/>
      <c r="AM5" s="589">
        <v>0.15</v>
      </c>
      <c r="AN5" s="1834"/>
      <c r="AO5" s="1834"/>
      <c r="AP5" s="1847"/>
      <c r="AQ5" s="1843"/>
      <c r="AR5" s="1843"/>
    </row>
    <row r="6" spans="1:44">
      <c r="A6" s="63"/>
      <c r="B6" s="71"/>
      <c r="C6" s="227">
        <v>1</v>
      </c>
      <c r="D6" s="226">
        <f>C6+1</f>
        <v>2</v>
      </c>
      <c r="E6" s="226">
        <v>3</v>
      </c>
      <c r="F6" s="267" t="s">
        <v>216</v>
      </c>
      <c r="G6" s="267" t="s">
        <v>217</v>
      </c>
      <c r="H6" s="214" t="s">
        <v>218</v>
      </c>
      <c r="I6" s="213">
        <f>E6+1</f>
        <v>4</v>
      </c>
      <c r="J6" s="226">
        <f t="shared" ref="J6:AR6" si="0">I6+1</f>
        <v>5</v>
      </c>
      <c r="K6" s="226">
        <f t="shared" si="0"/>
        <v>6</v>
      </c>
      <c r="L6" s="226">
        <f t="shared" si="0"/>
        <v>7</v>
      </c>
      <c r="M6" s="226">
        <f t="shared" si="0"/>
        <v>8</v>
      </c>
      <c r="N6" s="226">
        <f t="shared" si="0"/>
        <v>9</v>
      </c>
      <c r="O6" s="226">
        <f t="shared" si="0"/>
        <v>10</v>
      </c>
      <c r="P6" s="226">
        <f t="shared" si="0"/>
        <v>11</v>
      </c>
      <c r="Q6" s="226">
        <f t="shared" si="0"/>
        <v>12</v>
      </c>
      <c r="R6" s="226">
        <f t="shared" si="0"/>
        <v>13</v>
      </c>
      <c r="S6" s="226">
        <f t="shared" si="0"/>
        <v>14</v>
      </c>
      <c r="T6" s="226">
        <f t="shared" si="0"/>
        <v>15</v>
      </c>
      <c r="U6" s="226">
        <f t="shared" si="0"/>
        <v>16</v>
      </c>
      <c r="V6" s="226">
        <f t="shared" si="0"/>
        <v>17</v>
      </c>
      <c r="W6" s="226">
        <f t="shared" si="0"/>
        <v>18</v>
      </c>
      <c r="X6" s="226">
        <f t="shared" si="0"/>
        <v>19</v>
      </c>
      <c r="Y6" s="226">
        <f t="shared" si="0"/>
        <v>20</v>
      </c>
      <c r="Z6" s="226">
        <f t="shared" si="0"/>
        <v>21</v>
      </c>
      <c r="AA6" s="226">
        <f t="shared" si="0"/>
        <v>22</v>
      </c>
      <c r="AB6" s="226">
        <f t="shared" si="0"/>
        <v>23</v>
      </c>
      <c r="AC6" s="226">
        <f t="shared" si="0"/>
        <v>24</v>
      </c>
      <c r="AD6" s="226">
        <f t="shared" si="0"/>
        <v>25</v>
      </c>
      <c r="AE6" s="226">
        <f t="shared" si="0"/>
        <v>26</v>
      </c>
      <c r="AF6" s="226">
        <f t="shared" si="0"/>
        <v>27</v>
      </c>
      <c r="AG6" s="226">
        <f t="shared" si="0"/>
        <v>28</v>
      </c>
      <c r="AH6" s="226">
        <f t="shared" si="0"/>
        <v>29</v>
      </c>
      <c r="AI6" s="226">
        <f t="shared" si="0"/>
        <v>30</v>
      </c>
      <c r="AJ6" s="226">
        <f t="shared" si="0"/>
        <v>31</v>
      </c>
      <c r="AK6" s="226">
        <f t="shared" si="0"/>
        <v>32</v>
      </c>
      <c r="AL6" s="226">
        <f t="shared" si="0"/>
        <v>33</v>
      </c>
      <c r="AM6" s="226">
        <f t="shared" si="0"/>
        <v>34</v>
      </c>
      <c r="AN6" s="226">
        <f t="shared" si="0"/>
        <v>35</v>
      </c>
      <c r="AO6" s="226">
        <f t="shared" si="0"/>
        <v>36</v>
      </c>
      <c r="AP6" s="226">
        <f t="shared" si="0"/>
        <v>37</v>
      </c>
      <c r="AQ6" s="226">
        <f t="shared" si="0"/>
        <v>38</v>
      </c>
      <c r="AR6" s="213">
        <f t="shared" si="0"/>
        <v>39</v>
      </c>
    </row>
    <row r="7" spans="1:44" ht="0.75" customHeight="1">
      <c r="A7" s="9"/>
      <c r="B7" s="270"/>
      <c r="C7" s="275"/>
      <c r="D7" s="276"/>
      <c r="E7" s="276"/>
      <c r="F7" s="132"/>
      <c r="G7" s="132"/>
      <c r="H7" s="132"/>
      <c r="I7" s="353"/>
      <c r="J7" s="285"/>
      <c r="K7" s="275"/>
      <c r="L7" s="285"/>
      <c r="M7" s="275"/>
      <c r="N7" s="275"/>
      <c r="O7" s="275"/>
      <c r="P7" s="285"/>
      <c r="Q7" s="275"/>
      <c r="R7" s="275"/>
      <c r="S7" s="285"/>
      <c r="T7" s="275"/>
      <c r="U7" s="275"/>
      <c r="V7" s="275"/>
      <c r="W7" s="285"/>
      <c r="X7" s="275"/>
      <c r="Y7" s="275"/>
      <c r="Z7" s="275"/>
      <c r="AA7" s="275"/>
      <c r="AB7" s="275"/>
      <c r="AC7" s="275"/>
      <c r="AD7" s="276"/>
      <c r="AE7" s="290"/>
      <c r="AF7" s="344"/>
      <c r="AG7" s="277"/>
      <c r="AH7" s="278"/>
      <c r="AI7" s="279"/>
      <c r="AJ7" s="10"/>
      <c r="AK7" s="10"/>
      <c r="AL7" s="11"/>
      <c r="AM7" s="11"/>
      <c r="AN7" s="11"/>
      <c r="AO7" s="11"/>
      <c r="AP7" s="68"/>
      <c r="AQ7" s="133"/>
      <c r="AR7" s="133"/>
    </row>
    <row r="8" spans="1:44">
      <c r="A8" s="12">
        <v>1</v>
      </c>
      <c r="B8" s="69" t="s">
        <v>93</v>
      </c>
      <c r="C8" s="14">
        <v>374034513</v>
      </c>
      <c r="D8" s="14">
        <v>83521715</v>
      </c>
      <c r="E8" s="14">
        <f>C8-D8</f>
        <v>290512798</v>
      </c>
      <c r="F8" s="14">
        <v>285142017</v>
      </c>
      <c r="G8" s="576">
        <f>(E8-F8)/F8</f>
        <v>1.8835459805280119E-2</v>
      </c>
      <c r="H8" s="577">
        <f t="shared" ref="H8:H39" si="1">IF((E8-F8)/F8&gt;$H$5,F8*(1+$H$5),E8)</f>
        <v>290512798</v>
      </c>
      <c r="I8" s="487">
        <v>5.14</v>
      </c>
      <c r="J8" s="472">
        <v>1466082</v>
      </c>
      <c r="K8" s="487">
        <v>20.03</v>
      </c>
      <c r="L8" s="472">
        <v>5530430</v>
      </c>
      <c r="M8" s="471">
        <v>10</v>
      </c>
      <c r="N8" s="471">
        <v>13.45</v>
      </c>
      <c r="O8" s="471">
        <v>2</v>
      </c>
      <c r="P8" s="472">
        <v>981434</v>
      </c>
      <c r="Q8" s="14">
        <f>J8+L8+P8</f>
        <v>7977946</v>
      </c>
      <c r="R8" s="582">
        <v>0</v>
      </c>
      <c r="S8" s="472">
        <v>0</v>
      </c>
      <c r="T8" s="471">
        <v>13.2</v>
      </c>
      <c r="U8" s="471">
        <v>14</v>
      </c>
      <c r="V8" s="471">
        <v>2</v>
      </c>
      <c r="W8" s="472">
        <v>700961</v>
      </c>
      <c r="X8" s="14">
        <f>S8+W8</f>
        <v>700961</v>
      </c>
      <c r="Y8" s="145">
        <f>I8+K8+R8</f>
        <v>25.17</v>
      </c>
      <c r="Z8" s="14">
        <f>J8+L8+S8</f>
        <v>6996512</v>
      </c>
      <c r="AA8" s="14">
        <f>P8+W8</f>
        <v>1682395</v>
      </c>
      <c r="AB8" s="146">
        <f t="shared" ref="AB8:AB39" si="2">ROUND((X8/E8)*1000,2)</f>
        <v>2.41</v>
      </c>
      <c r="AC8" s="147">
        <f t="shared" ref="AC8:AC39" si="3">ROUND((Q8/E8)*1000,2)</f>
        <v>27.46</v>
      </c>
      <c r="AD8" s="127">
        <f t="shared" ref="AD8:AD39" si="4">ROUND((AE8/E8)*1000,2)</f>
        <v>29.87</v>
      </c>
      <c r="AE8" s="77">
        <f>X8+Q8</f>
        <v>8678907</v>
      </c>
      <c r="AF8" s="155">
        <v>1.4999999999999999E-2</v>
      </c>
      <c r="AG8" s="282">
        <v>11369692</v>
      </c>
      <c r="AH8" s="282">
        <v>0</v>
      </c>
      <c r="AI8" s="482">
        <f>AG8+AH8</f>
        <v>11369692</v>
      </c>
      <c r="AJ8" s="77">
        <v>672433267</v>
      </c>
      <c r="AK8" s="77">
        <f t="shared" ref="AK8:AK18" si="5">ROUND(AI8/AF8,0)</f>
        <v>757979467</v>
      </c>
      <c r="AL8" s="583">
        <f>(AK8-AJ8)/AJ8</f>
        <v>0.12721886943764191</v>
      </c>
      <c r="AM8" s="586">
        <f>IF((AK8-AJ8)/AJ8&gt;$AM$5,AJ8*(1+$AM$5),AK8)</f>
        <v>757979467</v>
      </c>
      <c r="AN8" s="129">
        <f t="shared" ref="AN8:AN39" si="6">AG8/AK8</f>
        <v>1.4999999993403516E-2</v>
      </c>
      <c r="AO8" s="129">
        <f t="shared" ref="AO8:AO39" si="7">AH8/AK8</f>
        <v>0</v>
      </c>
      <c r="AP8" s="77">
        <v>526511</v>
      </c>
      <c r="AQ8" s="77">
        <f t="shared" ref="AQ8:AQ39" si="8">AP8+AE8+AI8</f>
        <v>20575110</v>
      </c>
      <c r="AR8" s="77">
        <f>ROUND(AQ8/'Table 3 Levels 1&amp;2'!C8,2)</f>
        <v>2146.37</v>
      </c>
    </row>
    <row r="9" spans="1:44">
      <c r="A9" s="12">
        <v>2</v>
      </c>
      <c r="B9" s="69" t="s">
        <v>94</v>
      </c>
      <c r="C9" s="14">
        <v>103232695</v>
      </c>
      <c r="D9" s="14">
        <v>25750923</v>
      </c>
      <c r="E9" s="14">
        <f t="shared" ref="E9:E72" si="9">C9-D9</f>
        <v>77481772</v>
      </c>
      <c r="F9" s="14">
        <v>74892050</v>
      </c>
      <c r="G9" s="576">
        <f t="shared" ref="G9:G72" si="10">(E9-F9)/F9</f>
        <v>3.4579397946778063E-2</v>
      </c>
      <c r="H9" s="577">
        <f t="shared" si="1"/>
        <v>77481772</v>
      </c>
      <c r="I9" s="487">
        <v>4.28</v>
      </c>
      <c r="J9" s="472">
        <v>317971</v>
      </c>
      <c r="K9" s="487">
        <v>5.15</v>
      </c>
      <c r="L9" s="472">
        <v>383910</v>
      </c>
      <c r="M9" s="471">
        <v>12.89</v>
      </c>
      <c r="N9" s="471">
        <v>89.78</v>
      </c>
      <c r="O9" s="471">
        <v>12</v>
      </c>
      <c r="P9" s="472">
        <v>1474378</v>
      </c>
      <c r="Q9" s="14">
        <f t="shared" ref="Q9:Q72" si="11">J9+L9+P9</f>
        <v>2176259</v>
      </c>
      <c r="R9" s="471">
        <v>0</v>
      </c>
      <c r="S9" s="472">
        <v>0</v>
      </c>
      <c r="T9" s="471">
        <v>21.8</v>
      </c>
      <c r="U9" s="471">
        <v>39</v>
      </c>
      <c r="V9" s="471">
        <v>6</v>
      </c>
      <c r="W9" s="472">
        <v>1294550</v>
      </c>
      <c r="X9" s="14">
        <f t="shared" ref="X9:X72" si="12">S9+W9</f>
        <v>1294550</v>
      </c>
      <c r="Y9" s="145">
        <f t="shared" ref="Y9:Y72" si="13">I9+K9+R9</f>
        <v>9.43</v>
      </c>
      <c r="Z9" s="14">
        <f t="shared" ref="Z9:Z72" si="14">J9+L9+S9</f>
        <v>701881</v>
      </c>
      <c r="AA9" s="14">
        <f t="shared" ref="AA9:AA72" si="15">P9+W9</f>
        <v>2768928</v>
      </c>
      <c r="AB9" s="146">
        <f t="shared" si="2"/>
        <v>16.71</v>
      </c>
      <c r="AC9" s="147">
        <f t="shared" si="3"/>
        <v>28.09</v>
      </c>
      <c r="AD9" s="127">
        <f t="shared" si="4"/>
        <v>44.8</v>
      </c>
      <c r="AE9" s="77">
        <f t="shared" ref="AE9:AE72" si="16">X9+Q9</f>
        <v>3470809</v>
      </c>
      <c r="AF9" s="155">
        <v>0.03</v>
      </c>
      <c r="AG9" s="282">
        <v>7172089</v>
      </c>
      <c r="AH9" s="282">
        <v>0</v>
      </c>
      <c r="AI9" s="482">
        <f t="shared" ref="AI9:AI72" si="17">AG9+AH9</f>
        <v>7172089</v>
      </c>
      <c r="AJ9" s="77">
        <v>224247300</v>
      </c>
      <c r="AK9" s="77">
        <f t="shared" si="5"/>
        <v>239069633</v>
      </c>
      <c r="AL9" s="583">
        <f t="shared" ref="AL9:AL72" si="18">(AK9-AJ9)/AJ9</f>
        <v>6.6098155919826013E-2</v>
      </c>
      <c r="AM9" s="586">
        <f t="shared" ref="AM9:AM72" si="19">IF((AK9-AJ9)/AJ9&gt;$AM$5,AJ9*(1+$AM$5),AK9)</f>
        <v>239069633</v>
      </c>
      <c r="AN9" s="129">
        <f t="shared" si="6"/>
        <v>3.0000000041828817E-2</v>
      </c>
      <c r="AO9" s="129">
        <f t="shared" si="7"/>
        <v>0</v>
      </c>
      <c r="AP9" s="77">
        <v>101838</v>
      </c>
      <c r="AQ9" s="77">
        <f t="shared" si="8"/>
        <v>10744736</v>
      </c>
      <c r="AR9" s="77">
        <f>ROUND(AQ9/'Table 3 Levels 1&amp;2'!C9,2)</f>
        <v>2631.58</v>
      </c>
    </row>
    <row r="10" spans="1:44">
      <c r="A10" s="12">
        <v>3</v>
      </c>
      <c r="B10" s="69" t="s">
        <v>95</v>
      </c>
      <c r="C10" s="14">
        <v>1071508950</v>
      </c>
      <c r="D10" s="14">
        <v>196396390</v>
      </c>
      <c r="E10" s="14">
        <f t="shared" si="9"/>
        <v>875112560</v>
      </c>
      <c r="F10" s="14">
        <v>813576870</v>
      </c>
      <c r="G10" s="576">
        <f t="shared" si="10"/>
        <v>7.5635987537354649E-2</v>
      </c>
      <c r="H10" s="577">
        <f t="shared" si="1"/>
        <v>875112560</v>
      </c>
      <c r="I10" s="487">
        <v>3.61</v>
      </c>
      <c r="J10" s="472">
        <v>2491518</v>
      </c>
      <c r="K10" s="487">
        <v>42.9</v>
      </c>
      <c r="L10" s="472">
        <v>36713985</v>
      </c>
      <c r="M10" s="471">
        <v>0</v>
      </c>
      <c r="N10" s="471">
        <v>0</v>
      </c>
      <c r="O10" s="471">
        <v>0</v>
      </c>
      <c r="P10" s="472">
        <v>0</v>
      </c>
      <c r="Q10" s="14">
        <f t="shared" si="11"/>
        <v>39205503</v>
      </c>
      <c r="R10" s="471">
        <v>15.08</v>
      </c>
      <c r="S10" s="472">
        <v>14656576</v>
      </c>
      <c r="T10" s="471">
        <v>0</v>
      </c>
      <c r="U10" s="471">
        <v>0</v>
      </c>
      <c r="V10" s="471">
        <v>0</v>
      </c>
      <c r="W10" s="472">
        <v>0</v>
      </c>
      <c r="X10" s="14">
        <f t="shared" si="12"/>
        <v>14656576</v>
      </c>
      <c r="Y10" s="145">
        <f t="shared" si="13"/>
        <v>61.589999999999996</v>
      </c>
      <c r="Z10" s="14">
        <f t="shared" si="14"/>
        <v>53862079</v>
      </c>
      <c r="AA10" s="14">
        <f t="shared" si="15"/>
        <v>0</v>
      </c>
      <c r="AB10" s="146">
        <f t="shared" si="2"/>
        <v>16.75</v>
      </c>
      <c r="AC10" s="147">
        <f t="shared" si="3"/>
        <v>44.8</v>
      </c>
      <c r="AD10" s="127">
        <f t="shared" si="4"/>
        <v>61.55</v>
      </c>
      <c r="AE10" s="77">
        <f t="shared" si="16"/>
        <v>53862079</v>
      </c>
      <c r="AF10" s="155">
        <v>0.02</v>
      </c>
      <c r="AG10" s="282">
        <v>49823946</v>
      </c>
      <c r="AH10" s="282">
        <v>0</v>
      </c>
      <c r="AI10" s="482">
        <f t="shared" si="17"/>
        <v>49823946</v>
      </c>
      <c r="AJ10" s="77">
        <v>2191462900</v>
      </c>
      <c r="AK10" s="77">
        <f t="shared" si="5"/>
        <v>2491197300</v>
      </c>
      <c r="AL10" s="583">
        <f t="shared" si="18"/>
        <v>0.13677365927572854</v>
      </c>
      <c r="AM10" s="586">
        <f t="shared" si="19"/>
        <v>2491197300</v>
      </c>
      <c r="AN10" s="129">
        <f t="shared" si="6"/>
        <v>0.02</v>
      </c>
      <c r="AO10" s="129">
        <f t="shared" si="7"/>
        <v>0</v>
      </c>
      <c r="AP10" s="77">
        <v>197634</v>
      </c>
      <c r="AQ10" s="77">
        <f t="shared" si="8"/>
        <v>103883659</v>
      </c>
      <c r="AR10" s="77">
        <f>ROUND(AQ10/'Table 3 Levels 1&amp;2'!C10,2)</f>
        <v>5044.8599999999997</v>
      </c>
    </row>
    <row r="11" spans="1:44">
      <c r="A11" s="12">
        <v>4</v>
      </c>
      <c r="B11" s="69" t="s">
        <v>96</v>
      </c>
      <c r="C11" s="14">
        <v>175788630</v>
      </c>
      <c r="D11" s="14">
        <v>35540831</v>
      </c>
      <c r="E11" s="14">
        <f t="shared" si="9"/>
        <v>140247799</v>
      </c>
      <c r="F11" s="14">
        <v>134415214</v>
      </c>
      <c r="G11" s="576">
        <f t="shared" si="10"/>
        <v>4.3392297839141926E-2</v>
      </c>
      <c r="H11" s="577">
        <f t="shared" si="1"/>
        <v>140247799</v>
      </c>
      <c r="I11" s="487">
        <v>5.49</v>
      </c>
      <c r="J11" s="472">
        <v>763421</v>
      </c>
      <c r="K11" s="487">
        <v>33.880000000000003</v>
      </c>
      <c r="L11" s="472">
        <v>4711238</v>
      </c>
      <c r="M11" s="471">
        <v>0</v>
      </c>
      <c r="N11" s="471">
        <v>0</v>
      </c>
      <c r="O11" s="471">
        <v>0</v>
      </c>
      <c r="P11" s="472">
        <v>0</v>
      </c>
      <c r="Q11" s="14">
        <f t="shared" si="11"/>
        <v>5474659</v>
      </c>
      <c r="R11" s="471">
        <v>0</v>
      </c>
      <c r="S11" s="472">
        <v>823</v>
      </c>
      <c r="T11" s="471">
        <v>0</v>
      </c>
      <c r="U11" s="471">
        <v>0</v>
      </c>
      <c r="V11" s="471">
        <v>0</v>
      </c>
      <c r="W11" s="472">
        <v>0</v>
      </c>
      <c r="X11" s="14">
        <f t="shared" si="12"/>
        <v>823</v>
      </c>
      <c r="Y11" s="145">
        <f t="shared" si="13"/>
        <v>39.370000000000005</v>
      </c>
      <c r="Z11" s="14">
        <f t="shared" si="14"/>
        <v>5475482</v>
      </c>
      <c r="AA11" s="14">
        <f t="shared" si="15"/>
        <v>0</v>
      </c>
      <c r="AB11" s="146">
        <f t="shared" si="2"/>
        <v>0.01</v>
      </c>
      <c r="AC11" s="147">
        <f t="shared" si="3"/>
        <v>39.04</v>
      </c>
      <c r="AD11" s="127">
        <f t="shared" si="4"/>
        <v>39.04</v>
      </c>
      <c r="AE11" s="77">
        <f t="shared" si="16"/>
        <v>5475482</v>
      </c>
      <c r="AF11" s="155">
        <v>0.03</v>
      </c>
      <c r="AG11" s="282">
        <v>6784459</v>
      </c>
      <c r="AH11" s="282">
        <v>0</v>
      </c>
      <c r="AI11" s="482">
        <f t="shared" si="17"/>
        <v>6784459</v>
      </c>
      <c r="AJ11" s="77">
        <v>209023300</v>
      </c>
      <c r="AK11" s="77">
        <f t="shared" si="5"/>
        <v>226148633</v>
      </c>
      <c r="AL11" s="155">
        <f t="shared" si="18"/>
        <v>8.1930258492713487E-2</v>
      </c>
      <c r="AM11" s="77">
        <f t="shared" si="19"/>
        <v>226148633</v>
      </c>
      <c r="AN11" s="129">
        <f t="shared" si="6"/>
        <v>3.0000000044218707E-2</v>
      </c>
      <c r="AO11" s="129">
        <f t="shared" si="7"/>
        <v>0</v>
      </c>
      <c r="AP11" s="77">
        <v>153274</v>
      </c>
      <c r="AQ11" s="77">
        <f t="shared" si="8"/>
        <v>12413215</v>
      </c>
      <c r="AR11" s="77">
        <f>ROUND(AQ11/'Table 3 Levels 1&amp;2'!C11,2)</f>
        <v>3495.7</v>
      </c>
    </row>
    <row r="12" spans="1:44">
      <c r="A12" s="18">
        <v>5</v>
      </c>
      <c r="B12" s="70" t="s">
        <v>97</v>
      </c>
      <c r="C12" s="20">
        <v>158764194</v>
      </c>
      <c r="D12" s="20">
        <v>57903414</v>
      </c>
      <c r="E12" s="20">
        <f t="shared" si="9"/>
        <v>100860780</v>
      </c>
      <c r="F12" s="20">
        <v>98562757</v>
      </c>
      <c r="G12" s="747">
        <f t="shared" si="10"/>
        <v>2.3315327918434749E-2</v>
      </c>
      <c r="H12" s="748">
        <f t="shared" si="1"/>
        <v>100860780</v>
      </c>
      <c r="I12" s="488">
        <v>3.62</v>
      </c>
      <c r="J12" s="474">
        <v>379209</v>
      </c>
      <c r="K12" s="488">
        <v>10</v>
      </c>
      <c r="L12" s="474">
        <v>1047518</v>
      </c>
      <c r="M12" s="473">
        <v>0</v>
      </c>
      <c r="N12" s="473">
        <v>0</v>
      </c>
      <c r="O12" s="473">
        <v>0</v>
      </c>
      <c r="P12" s="474">
        <v>0</v>
      </c>
      <c r="Q12" s="20">
        <f t="shared" si="11"/>
        <v>1426727</v>
      </c>
      <c r="R12" s="473">
        <v>0</v>
      </c>
      <c r="S12" s="474">
        <v>0</v>
      </c>
      <c r="T12" s="473">
        <v>0</v>
      </c>
      <c r="U12" s="473">
        <v>0</v>
      </c>
      <c r="V12" s="473">
        <v>1</v>
      </c>
      <c r="W12" s="474">
        <v>193</v>
      </c>
      <c r="X12" s="20">
        <f t="shared" si="12"/>
        <v>193</v>
      </c>
      <c r="Y12" s="148">
        <f t="shared" si="13"/>
        <v>13.620000000000001</v>
      </c>
      <c r="Z12" s="20">
        <f t="shared" si="14"/>
        <v>1426727</v>
      </c>
      <c r="AA12" s="20">
        <f t="shared" si="15"/>
        <v>193</v>
      </c>
      <c r="AB12" s="149">
        <f t="shared" si="2"/>
        <v>0</v>
      </c>
      <c r="AC12" s="150">
        <f t="shared" si="3"/>
        <v>14.15</v>
      </c>
      <c r="AD12" s="128">
        <f t="shared" si="4"/>
        <v>14.15</v>
      </c>
      <c r="AE12" s="78">
        <f t="shared" si="16"/>
        <v>1426920</v>
      </c>
      <c r="AF12" s="156">
        <v>1.6299999999999999E-2</v>
      </c>
      <c r="AG12" s="283">
        <v>7262732</v>
      </c>
      <c r="AH12" s="283">
        <v>0</v>
      </c>
      <c r="AI12" s="483">
        <f t="shared" si="17"/>
        <v>7262732</v>
      </c>
      <c r="AJ12" s="78">
        <v>400714933</v>
      </c>
      <c r="AK12" s="78">
        <f t="shared" si="5"/>
        <v>445566380</v>
      </c>
      <c r="AL12" s="584">
        <f t="shared" si="18"/>
        <v>0.11192856393999172</v>
      </c>
      <c r="AM12" s="587">
        <f t="shared" si="19"/>
        <v>445566380</v>
      </c>
      <c r="AN12" s="130">
        <f t="shared" si="6"/>
        <v>1.6300000013466008E-2</v>
      </c>
      <c r="AO12" s="130">
        <f t="shared" si="7"/>
        <v>0</v>
      </c>
      <c r="AP12" s="78">
        <v>221441.5</v>
      </c>
      <c r="AQ12" s="78">
        <f t="shared" si="8"/>
        <v>8911093.5</v>
      </c>
      <c r="AR12" s="78">
        <f>ROUND(AQ12/'Table 3 Levels 1&amp;2'!C12,2)</f>
        <v>1547.87</v>
      </c>
    </row>
    <row r="13" spans="1:44">
      <c r="A13" s="12">
        <v>6</v>
      </c>
      <c r="B13" s="69" t="s">
        <v>98</v>
      </c>
      <c r="C13" s="14">
        <v>256836558</v>
      </c>
      <c r="D13" s="14">
        <v>51184070</v>
      </c>
      <c r="E13" s="14">
        <f t="shared" si="9"/>
        <v>205652488</v>
      </c>
      <c r="F13" s="14">
        <v>194386918</v>
      </c>
      <c r="G13" s="576">
        <f t="shared" si="10"/>
        <v>5.795436295769657E-2</v>
      </c>
      <c r="H13" s="577">
        <f t="shared" si="1"/>
        <v>205652488</v>
      </c>
      <c r="I13" s="487">
        <v>4.5</v>
      </c>
      <c r="J13" s="472">
        <v>978302</v>
      </c>
      <c r="K13" s="487">
        <v>28.02</v>
      </c>
      <c r="L13" s="472">
        <v>6097923</v>
      </c>
      <c r="M13" s="471">
        <v>0</v>
      </c>
      <c r="N13" s="471">
        <v>0</v>
      </c>
      <c r="O13" s="471">
        <v>0</v>
      </c>
      <c r="P13" s="472">
        <v>0</v>
      </c>
      <c r="Q13" s="14">
        <f t="shared" si="11"/>
        <v>7076225</v>
      </c>
      <c r="R13" s="471">
        <v>17.8</v>
      </c>
      <c r="S13" s="472">
        <v>3659176</v>
      </c>
      <c r="T13" s="471">
        <v>0</v>
      </c>
      <c r="U13" s="471">
        <v>0</v>
      </c>
      <c r="V13" s="471">
        <v>0</v>
      </c>
      <c r="W13" s="472">
        <v>0</v>
      </c>
      <c r="X13" s="14">
        <f t="shared" si="12"/>
        <v>3659176</v>
      </c>
      <c r="Y13" s="145">
        <f t="shared" si="13"/>
        <v>50.319999999999993</v>
      </c>
      <c r="Z13" s="14">
        <f t="shared" si="14"/>
        <v>10735401</v>
      </c>
      <c r="AA13" s="14">
        <f t="shared" si="15"/>
        <v>0</v>
      </c>
      <c r="AB13" s="146">
        <f t="shared" si="2"/>
        <v>17.79</v>
      </c>
      <c r="AC13" s="147">
        <f t="shared" si="3"/>
        <v>34.409999999999997</v>
      </c>
      <c r="AD13" s="127">
        <f t="shared" si="4"/>
        <v>52.2</v>
      </c>
      <c r="AE13" s="77">
        <f t="shared" si="16"/>
        <v>10735401</v>
      </c>
      <c r="AF13" s="155">
        <v>0.02</v>
      </c>
      <c r="AG13" s="282">
        <v>11237688</v>
      </c>
      <c r="AH13" s="282">
        <v>0</v>
      </c>
      <c r="AI13" s="482">
        <f t="shared" si="17"/>
        <v>11237688</v>
      </c>
      <c r="AJ13" s="77">
        <v>434126050</v>
      </c>
      <c r="AK13" s="77">
        <f t="shared" si="5"/>
        <v>561884400</v>
      </c>
      <c r="AL13" s="585">
        <f t="shared" si="18"/>
        <v>0.29428860580930355</v>
      </c>
      <c r="AM13" s="588">
        <f t="shared" si="19"/>
        <v>499244957.49999994</v>
      </c>
      <c r="AN13" s="129">
        <f t="shared" si="6"/>
        <v>0.02</v>
      </c>
      <c r="AO13" s="129">
        <f t="shared" si="7"/>
        <v>0</v>
      </c>
      <c r="AP13" s="77">
        <v>326455.5</v>
      </c>
      <c r="AQ13" s="77">
        <f t="shared" si="8"/>
        <v>22299544.5</v>
      </c>
      <c r="AR13" s="77">
        <f>ROUND(AQ13/'Table 3 Levels 1&amp;2'!C13,2)</f>
        <v>3681.62</v>
      </c>
    </row>
    <row r="14" spans="1:44">
      <c r="A14" s="12">
        <v>7</v>
      </c>
      <c r="B14" s="69" t="s">
        <v>99</v>
      </c>
      <c r="C14" s="14">
        <v>378467040</v>
      </c>
      <c r="D14" s="14">
        <v>15722613</v>
      </c>
      <c r="E14" s="14">
        <f t="shared" si="9"/>
        <v>362744427</v>
      </c>
      <c r="F14" s="14">
        <v>299529157</v>
      </c>
      <c r="G14" s="578">
        <f t="shared" si="10"/>
        <v>0.21104880283824923</v>
      </c>
      <c r="H14" s="579">
        <f t="shared" si="1"/>
        <v>329482072.70000005</v>
      </c>
      <c r="I14" s="487">
        <v>5.74</v>
      </c>
      <c r="J14" s="472">
        <v>2069010</v>
      </c>
      <c r="K14" s="487">
        <v>47.05</v>
      </c>
      <c r="L14" s="472">
        <v>16959397</v>
      </c>
      <c r="M14" s="471">
        <v>0</v>
      </c>
      <c r="N14" s="471">
        <v>0</v>
      </c>
      <c r="O14" s="471">
        <v>0</v>
      </c>
      <c r="P14" s="472">
        <v>0</v>
      </c>
      <c r="Q14" s="14">
        <f t="shared" si="11"/>
        <v>19028407</v>
      </c>
      <c r="R14" s="471">
        <v>0</v>
      </c>
      <c r="S14" s="472">
        <v>0</v>
      </c>
      <c r="T14" s="471">
        <v>4.5999999999999996</v>
      </c>
      <c r="U14" s="471">
        <v>70</v>
      </c>
      <c r="V14" s="471">
        <v>7</v>
      </c>
      <c r="W14" s="472">
        <v>1612683</v>
      </c>
      <c r="X14" s="14">
        <f t="shared" si="12"/>
        <v>1612683</v>
      </c>
      <c r="Y14" s="145">
        <f t="shared" si="13"/>
        <v>52.79</v>
      </c>
      <c r="Z14" s="14">
        <f t="shared" si="14"/>
        <v>19028407</v>
      </c>
      <c r="AA14" s="14">
        <f t="shared" si="15"/>
        <v>1612683</v>
      </c>
      <c r="AB14" s="146">
        <f t="shared" si="2"/>
        <v>4.45</v>
      </c>
      <c r="AC14" s="147">
        <f t="shared" si="3"/>
        <v>52.46</v>
      </c>
      <c r="AD14" s="127">
        <f t="shared" si="4"/>
        <v>56.9</v>
      </c>
      <c r="AE14" s="77">
        <f t="shared" si="16"/>
        <v>20641090</v>
      </c>
      <c r="AF14" s="155">
        <v>0.02</v>
      </c>
      <c r="AG14" s="282">
        <v>7821796</v>
      </c>
      <c r="AH14" s="282">
        <v>0</v>
      </c>
      <c r="AI14" s="482">
        <f t="shared" si="17"/>
        <v>7821796</v>
      </c>
      <c r="AJ14" s="77">
        <v>572251700</v>
      </c>
      <c r="AK14" s="77">
        <f t="shared" si="5"/>
        <v>391089800</v>
      </c>
      <c r="AL14" s="583">
        <f t="shared" si="18"/>
        <v>-0.31657730330901596</v>
      </c>
      <c r="AM14" s="586">
        <f t="shared" si="19"/>
        <v>391089800</v>
      </c>
      <c r="AN14" s="129">
        <f t="shared" si="6"/>
        <v>0.02</v>
      </c>
      <c r="AO14" s="129">
        <f t="shared" si="7"/>
        <v>0</v>
      </c>
      <c r="AP14" s="77">
        <v>227363.5</v>
      </c>
      <c r="AQ14" s="77">
        <f t="shared" si="8"/>
        <v>28690249.5</v>
      </c>
      <c r="AR14" s="77">
        <f>ROUND(AQ14/'Table 3 Levels 1&amp;2'!C14,2)</f>
        <v>13023.26</v>
      </c>
    </row>
    <row r="15" spans="1:44">
      <c r="A15" s="12">
        <v>8</v>
      </c>
      <c r="B15" s="69" t="s">
        <v>100</v>
      </c>
      <c r="C15" s="14">
        <v>1064263600</v>
      </c>
      <c r="D15" s="14">
        <v>181740944</v>
      </c>
      <c r="E15" s="14">
        <f t="shared" si="9"/>
        <v>882522656</v>
      </c>
      <c r="F15" s="14">
        <v>859428608</v>
      </c>
      <c r="G15" s="576">
        <f t="shared" si="10"/>
        <v>2.6871397792706479E-2</v>
      </c>
      <c r="H15" s="577">
        <f t="shared" si="1"/>
        <v>882522656</v>
      </c>
      <c r="I15" s="487">
        <v>3.27</v>
      </c>
      <c r="J15" s="472">
        <v>2854393</v>
      </c>
      <c r="K15" s="487">
        <v>35.44</v>
      </c>
      <c r="L15" s="472">
        <v>30935683</v>
      </c>
      <c r="M15" s="471">
        <v>0</v>
      </c>
      <c r="N15" s="471">
        <v>0</v>
      </c>
      <c r="O15" s="471">
        <v>0</v>
      </c>
      <c r="P15" s="472">
        <v>0</v>
      </c>
      <c r="Q15" s="14">
        <f t="shared" si="11"/>
        <v>33790076</v>
      </c>
      <c r="R15" s="471">
        <v>0</v>
      </c>
      <c r="S15" s="472">
        <v>0</v>
      </c>
      <c r="T15" s="471">
        <v>13.55</v>
      </c>
      <c r="U15" s="471">
        <v>13.55</v>
      </c>
      <c r="V15" s="471">
        <v>1</v>
      </c>
      <c r="W15" s="472">
        <v>11859354</v>
      </c>
      <c r="X15" s="14">
        <f t="shared" si="12"/>
        <v>11859354</v>
      </c>
      <c r="Y15" s="145">
        <f t="shared" si="13"/>
        <v>38.71</v>
      </c>
      <c r="Z15" s="14">
        <f t="shared" si="14"/>
        <v>33790076</v>
      </c>
      <c r="AA15" s="14">
        <f t="shared" si="15"/>
        <v>11859354</v>
      </c>
      <c r="AB15" s="146">
        <f t="shared" si="2"/>
        <v>13.44</v>
      </c>
      <c r="AC15" s="147">
        <f t="shared" si="3"/>
        <v>38.29</v>
      </c>
      <c r="AD15" s="127">
        <f t="shared" si="4"/>
        <v>51.73</v>
      </c>
      <c r="AE15" s="77">
        <f t="shared" si="16"/>
        <v>45649430</v>
      </c>
      <c r="AF15" s="155">
        <v>1.7500000000000002E-2</v>
      </c>
      <c r="AG15" s="282">
        <v>44601904</v>
      </c>
      <c r="AH15" s="282">
        <v>0</v>
      </c>
      <c r="AI15" s="482">
        <f t="shared" si="17"/>
        <v>44601904</v>
      </c>
      <c r="AJ15" s="77">
        <v>2633373714</v>
      </c>
      <c r="AK15" s="77">
        <f t="shared" si="5"/>
        <v>2548680229</v>
      </c>
      <c r="AL15" s="583">
        <f t="shared" si="18"/>
        <v>-3.2161589731733761E-2</v>
      </c>
      <c r="AM15" s="586">
        <f t="shared" si="19"/>
        <v>2548680229</v>
      </c>
      <c r="AN15" s="129">
        <f t="shared" si="6"/>
        <v>1.74999999970573E-2</v>
      </c>
      <c r="AO15" s="129">
        <f t="shared" si="7"/>
        <v>0</v>
      </c>
      <c r="AP15" s="77">
        <v>612181</v>
      </c>
      <c r="AQ15" s="77">
        <f t="shared" si="8"/>
        <v>90863515</v>
      </c>
      <c r="AR15" s="77">
        <f>ROUND(AQ15/'Table 3 Levels 1&amp;2'!C15,2)</f>
        <v>4288.04</v>
      </c>
    </row>
    <row r="16" spans="1:44">
      <c r="A16" s="12">
        <v>9</v>
      </c>
      <c r="B16" s="69" t="s">
        <v>101</v>
      </c>
      <c r="C16" s="14">
        <v>1881756400</v>
      </c>
      <c r="D16" s="14">
        <v>340067180</v>
      </c>
      <c r="E16" s="14">
        <f t="shared" si="9"/>
        <v>1541689220</v>
      </c>
      <c r="F16" s="14">
        <v>1483115510</v>
      </c>
      <c r="G16" s="576">
        <f t="shared" si="10"/>
        <v>3.9493693920037286E-2</v>
      </c>
      <c r="H16" s="577">
        <f t="shared" si="1"/>
        <v>1541689220</v>
      </c>
      <c r="I16" s="487">
        <v>7.96</v>
      </c>
      <c r="J16" s="472">
        <v>12077196</v>
      </c>
      <c r="K16" s="487">
        <v>62.64</v>
      </c>
      <c r="L16" s="472">
        <v>95039557</v>
      </c>
      <c r="M16" s="471">
        <v>0</v>
      </c>
      <c r="N16" s="471">
        <v>0</v>
      </c>
      <c r="O16" s="471">
        <v>0</v>
      </c>
      <c r="P16" s="472">
        <v>0</v>
      </c>
      <c r="Q16" s="14">
        <f t="shared" si="11"/>
        <v>107116753</v>
      </c>
      <c r="R16" s="471">
        <v>7.6</v>
      </c>
      <c r="S16" s="472">
        <v>11530901</v>
      </c>
      <c r="T16" s="471">
        <v>0</v>
      </c>
      <c r="U16" s="471">
        <v>0</v>
      </c>
      <c r="V16" s="471">
        <v>0</v>
      </c>
      <c r="W16" s="472">
        <v>0</v>
      </c>
      <c r="X16" s="14">
        <f t="shared" si="12"/>
        <v>11530901</v>
      </c>
      <c r="Y16" s="145">
        <f t="shared" si="13"/>
        <v>78.199999999999989</v>
      </c>
      <c r="Z16" s="14">
        <f t="shared" si="14"/>
        <v>118647654</v>
      </c>
      <c r="AA16" s="14">
        <f t="shared" si="15"/>
        <v>0</v>
      </c>
      <c r="AB16" s="146">
        <f t="shared" si="2"/>
        <v>7.48</v>
      </c>
      <c r="AC16" s="147">
        <f t="shared" si="3"/>
        <v>69.48</v>
      </c>
      <c r="AD16" s="127">
        <f t="shared" si="4"/>
        <v>76.959999999999994</v>
      </c>
      <c r="AE16" s="77">
        <f t="shared" si="16"/>
        <v>118647654</v>
      </c>
      <c r="AF16" s="155">
        <v>1.4999999999999999E-2</v>
      </c>
      <c r="AG16" s="282">
        <v>74472829</v>
      </c>
      <c r="AH16" s="282">
        <v>0</v>
      </c>
      <c r="AI16" s="482">
        <f t="shared" si="17"/>
        <v>74472829</v>
      </c>
      <c r="AJ16" s="77">
        <v>5218130067</v>
      </c>
      <c r="AK16" s="77">
        <f t="shared" si="5"/>
        <v>4964855267</v>
      </c>
      <c r="AL16" s="583">
        <f t="shared" si="18"/>
        <v>-4.8537463947427507E-2</v>
      </c>
      <c r="AM16" s="586">
        <f t="shared" si="19"/>
        <v>4964855267</v>
      </c>
      <c r="AN16" s="129">
        <f t="shared" si="6"/>
        <v>1.4999999998992921E-2</v>
      </c>
      <c r="AO16" s="129">
        <f t="shared" si="7"/>
        <v>0</v>
      </c>
      <c r="AP16" s="77">
        <v>2536532</v>
      </c>
      <c r="AQ16" s="77">
        <f t="shared" si="8"/>
        <v>195657015</v>
      </c>
      <c r="AR16" s="77">
        <f>ROUND(AQ16/'Table 3 Levels 1&amp;2'!C16,2)</f>
        <v>4786.6000000000004</v>
      </c>
    </row>
    <row r="17" spans="1:44">
      <c r="A17" s="18">
        <v>10</v>
      </c>
      <c r="B17" s="70" t="s">
        <v>102</v>
      </c>
      <c r="C17" s="20">
        <v>1780317660</v>
      </c>
      <c r="D17" s="20">
        <v>273152136</v>
      </c>
      <c r="E17" s="20">
        <f t="shared" si="9"/>
        <v>1507165524</v>
      </c>
      <c r="F17" s="20">
        <v>1478624782</v>
      </c>
      <c r="G17" s="747">
        <f t="shared" si="10"/>
        <v>1.9302220784772429E-2</v>
      </c>
      <c r="H17" s="748">
        <f t="shared" si="1"/>
        <v>1507165524</v>
      </c>
      <c r="I17" s="488">
        <v>5.57</v>
      </c>
      <c r="J17" s="474">
        <v>8357723</v>
      </c>
      <c r="K17" s="488">
        <v>13.15</v>
      </c>
      <c r="L17" s="474">
        <v>19780890</v>
      </c>
      <c r="M17" s="473">
        <v>9.8699999999999992</v>
      </c>
      <c r="N17" s="473">
        <v>9.8699999999999992</v>
      </c>
      <c r="O17" s="473">
        <v>1</v>
      </c>
      <c r="P17" s="474">
        <v>192619</v>
      </c>
      <c r="Q17" s="20">
        <f t="shared" si="11"/>
        <v>28331232</v>
      </c>
      <c r="R17" s="473">
        <v>0</v>
      </c>
      <c r="S17" s="474">
        <v>0</v>
      </c>
      <c r="T17" s="473">
        <v>4</v>
      </c>
      <c r="U17" s="473">
        <v>27</v>
      </c>
      <c r="V17" s="473">
        <v>13</v>
      </c>
      <c r="W17" s="474">
        <v>21199732</v>
      </c>
      <c r="X17" s="20">
        <f t="shared" si="12"/>
        <v>21199732</v>
      </c>
      <c r="Y17" s="148">
        <f t="shared" si="13"/>
        <v>18.72</v>
      </c>
      <c r="Z17" s="20">
        <f t="shared" si="14"/>
        <v>28138613</v>
      </c>
      <c r="AA17" s="20">
        <f t="shared" si="15"/>
        <v>21392351</v>
      </c>
      <c r="AB17" s="149">
        <f t="shared" si="2"/>
        <v>14.07</v>
      </c>
      <c r="AC17" s="150">
        <f t="shared" si="3"/>
        <v>18.8</v>
      </c>
      <c r="AD17" s="128">
        <f t="shared" si="4"/>
        <v>32.86</v>
      </c>
      <c r="AE17" s="78">
        <f t="shared" si="16"/>
        <v>49530964</v>
      </c>
      <c r="AF17" s="156">
        <v>0.02</v>
      </c>
      <c r="AG17" s="283">
        <v>91977507</v>
      </c>
      <c r="AH17" s="283">
        <v>0</v>
      </c>
      <c r="AI17" s="483">
        <f t="shared" si="17"/>
        <v>91977507</v>
      </c>
      <c r="AJ17" s="78">
        <v>4161058500</v>
      </c>
      <c r="AK17" s="78">
        <f t="shared" si="5"/>
        <v>4598875350</v>
      </c>
      <c r="AL17" s="584">
        <f t="shared" si="18"/>
        <v>0.10521766276537568</v>
      </c>
      <c r="AM17" s="587">
        <f t="shared" si="19"/>
        <v>4598875350</v>
      </c>
      <c r="AN17" s="130">
        <f t="shared" si="6"/>
        <v>0.02</v>
      </c>
      <c r="AO17" s="130">
        <f t="shared" si="7"/>
        <v>0</v>
      </c>
      <c r="AP17" s="78">
        <v>1014170</v>
      </c>
      <c r="AQ17" s="78">
        <f t="shared" si="8"/>
        <v>142522641</v>
      </c>
      <c r="AR17" s="78">
        <f>ROUND(AQ17/'Table 3 Levels 1&amp;2'!C17,2)</f>
        <v>4447.4399999999996</v>
      </c>
    </row>
    <row r="18" spans="1:44">
      <c r="A18" s="12">
        <v>11</v>
      </c>
      <c r="B18" s="69" t="s">
        <v>103</v>
      </c>
      <c r="C18" s="14">
        <v>64692370</v>
      </c>
      <c r="D18" s="14">
        <v>13707140</v>
      </c>
      <c r="E18" s="14">
        <f t="shared" si="9"/>
        <v>50985230</v>
      </c>
      <c r="F18" s="14">
        <v>43967580</v>
      </c>
      <c r="G18" s="578">
        <f t="shared" si="10"/>
        <v>0.15960964874573494</v>
      </c>
      <c r="H18" s="579">
        <f t="shared" si="1"/>
        <v>48364338.000000007</v>
      </c>
      <c r="I18" s="487">
        <v>5.42</v>
      </c>
      <c r="J18" s="472">
        <v>276602</v>
      </c>
      <c r="K18" s="487">
        <v>32.85</v>
      </c>
      <c r="L18" s="472">
        <v>1659608</v>
      </c>
      <c r="M18" s="471">
        <v>0</v>
      </c>
      <c r="N18" s="471">
        <v>0</v>
      </c>
      <c r="O18" s="471">
        <v>0</v>
      </c>
      <c r="P18" s="472">
        <v>0</v>
      </c>
      <c r="Q18" s="14">
        <f t="shared" si="11"/>
        <v>1936210</v>
      </c>
      <c r="R18" s="471">
        <v>30</v>
      </c>
      <c r="S18" s="472">
        <v>1541413</v>
      </c>
      <c r="T18" s="471">
        <v>0</v>
      </c>
      <c r="U18" s="471">
        <v>0</v>
      </c>
      <c r="V18" s="471">
        <v>0</v>
      </c>
      <c r="W18" s="472">
        <v>0</v>
      </c>
      <c r="X18" s="14">
        <f t="shared" si="12"/>
        <v>1541413</v>
      </c>
      <c r="Y18" s="145">
        <f t="shared" si="13"/>
        <v>68.27000000000001</v>
      </c>
      <c r="Z18" s="14">
        <f t="shared" si="14"/>
        <v>3477623</v>
      </c>
      <c r="AA18" s="14">
        <f t="shared" si="15"/>
        <v>0</v>
      </c>
      <c r="AB18" s="146">
        <f t="shared" si="2"/>
        <v>30.23</v>
      </c>
      <c r="AC18" s="147">
        <f t="shared" si="3"/>
        <v>37.979999999999997</v>
      </c>
      <c r="AD18" s="127">
        <f t="shared" si="4"/>
        <v>68.209999999999994</v>
      </c>
      <c r="AE18" s="77">
        <f t="shared" si="16"/>
        <v>3477623</v>
      </c>
      <c r="AF18" s="155">
        <v>0.02</v>
      </c>
      <c r="AG18" s="282">
        <v>1965585</v>
      </c>
      <c r="AH18" s="282">
        <v>0</v>
      </c>
      <c r="AI18" s="482">
        <f t="shared" si="17"/>
        <v>1965585</v>
      </c>
      <c r="AJ18" s="77">
        <v>110491850</v>
      </c>
      <c r="AK18" s="77">
        <f t="shared" si="5"/>
        <v>98279250</v>
      </c>
      <c r="AL18" s="583">
        <f t="shared" si="18"/>
        <v>-0.11052941913815363</v>
      </c>
      <c r="AM18" s="586">
        <f t="shared" si="19"/>
        <v>98279250</v>
      </c>
      <c r="AN18" s="129">
        <f t="shared" si="6"/>
        <v>0.02</v>
      </c>
      <c r="AO18" s="129">
        <f t="shared" si="7"/>
        <v>0</v>
      </c>
      <c r="AP18" s="77">
        <v>85967.5</v>
      </c>
      <c r="AQ18" s="77">
        <f t="shared" si="8"/>
        <v>5529175.5</v>
      </c>
      <c r="AR18" s="77">
        <f>ROUND(AQ18/'Table 3 Levels 1&amp;2'!C18,2)</f>
        <v>3562.61</v>
      </c>
    </row>
    <row r="19" spans="1:44">
      <c r="A19" s="12">
        <v>12</v>
      </c>
      <c r="B19" s="69" t="s">
        <v>104</v>
      </c>
      <c r="C19" s="14">
        <v>279628799</v>
      </c>
      <c r="D19" s="14">
        <v>11178668</v>
      </c>
      <c r="E19" s="14">
        <f t="shared" si="9"/>
        <v>268450131</v>
      </c>
      <c r="F19" s="14">
        <v>237191774</v>
      </c>
      <c r="G19" s="578">
        <f t="shared" si="10"/>
        <v>0.13178516469125107</v>
      </c>
      <c r="H19" s="579">
        <f t="shared" si="1"/>
        <v>260910951.40000004</v>
      </c>
      <c r="I19" s="487">
        <v>4.4000000000000004</v>
      </c>
      <c r="J19" s="472">
        <v>1257312</v>
      </c>
      <c r="K19" s="487">
        <v>42.49</v>
      </c>
      <c r="L19" s="472">
        <v>12096178</v>
      </c>
      <c r="M19" s="471">
        <v>0</v>
      </c>
      <c r="N19" s="471">
        <v>0</v>
      </c>
      <c r="O19" s="471">
        <v>0</v>
      </c>
      <c r="P19" s="472">
        <v>0</v>
      </c>
      <c r="Q19" s="14">
        <f t="shared" si="11"/>
        <v>13353490</v>
      </c>
      <c r="R19" s="471">
        <v>0</v>
      </c>
      <c r="S19" s="472">
        <v>807947</v>
      </c>
      <c r="T19" s="471">
        <v>2.75</v>
      </c>
      <c r="U19" s="471">
        <v>18</v>
      </c>
      <c r="V19" s="471">
        <v>3</v>
      </c>
      <c r="W19" s="472">
        <v>0</v>
      </c>
      <c r="X19" s="14">
        <f t="shared" si="12"/>
        <v>807947</v>
      </c>
      <c r="Y19" s="145">
        <f t="shared" si="13"/>
        <v>46.89</v>
      </c>
      <c r="Z19" s="14">
        <f t="shared" si="14"/>
        <v>14161437</v>
      </c>
      <c r="AA19" s="14">
        <f t="shared" si="15"/>
        <v>0</v>
      </c>
      <c r="AB19" s="146">
        <f t="shared" si="2"/>
        <v>3.01</v>
      </c>
      <c r="AC19" s="147">
        <f t="shared" si="3"/>
        <v>49.74</v>
      </c>
      <c r="AD19" s="127">
        <f t="shared" si="4"/>
        <v>52.75</v>
      </c>
      <c r="AE19" s="77">
        <f t="shared" si="16"/>
        <v>14161437</v>
      </c>
      <c r="AF19" s="155">
        <v>0</v>
      </c>
      <c r="AG19" s="282">
        <v>0</v>
      </c>
      <c r="AH19" s="282">
        <v>0</v>
      </c>
      <c r="AI19" s="482">
        <f t="shared" si="17"/>
        <v>0</v>
      </c>
      <c r="AJ19" s="77">
        <v>26707332.5</v>
      </c>
      <c r="AK19" s="1239">
        <v>31303034</v>
      </c>
      <c r="AL19" s="585">
        <f t="shared" si="18"/>
        <v>0.17207639512482201</v>
      </c>
      <c r="AM19" s="588">
        <f t="shared" si="19"/>
        <v>30713432.374999996</v>
      </c>
      <c r="AN19" s="129">
        <f t="shared" si="6"/>
        <v>0</v>
      </c>
      <c r="AO19" s="129">
        <f t="shared" si="7"/>
        <v>0</v>
      </c>
      <c r="AP19" s="77">
        <v>647659.5</v>
      </c>
      <c r="AQ19" s="77">
        <f t="shared" si="8"/>
        <v>14809096.5</v>
      </c>
      <c r="AR19" s="77">
        <f>ROUND(AQ19/'Table 3 Levels 1&amp;2'!C19,2)</f>
        <v>12208.65</v>
      </c>
    </row>
    <row r="20" spans="1:44">
      <c r="A20" s="12">
        <v>13</v>
      </c>
      <c r="B20" s="69" t="s">
        <v>105</v>
      </c>
      <c r="C20" s="14">
        <v>50122660</v>
      </c>
      <c r="D20" s="14">
        <v>14802551</v>
      </c>
      <c r="E20" s="14">
        <f t="shared" si="9"/>
        <v>35320109</v>
      </c>
      <c r="F20" s="14">
        <v>35513879</v>
      </c>
      <c r="G20" s="576">
        <f t="shared" si="10"/>
        <v>-5.4561767245982903E-3</v>
      </c>
      <c r="H20" s="577">
        <f t="shared" si="1"/>
        <v>35320109</v>
      </c>
      <c r="I20" s="487">
        <v>4.12</v>
      </c>
      <c r="J20" s="472">
        <f>146594-899</f>
        <v>145695</v>
      </c>
      <c r="K20" s="487">
        <v>13.13</v>
      </c>
      <c r="L20" s="472">
        <v>408250</v>
      </c>
      <c r="M20" s="471">
        <v>4.01</v>
      </c>
      <c r="N20" s="471">
        <v>5.18</v>
      </c>
      <c r="O20" s="471">
        <v>4</v>
      </c>
      <c r="P20" s="472">
        <f>202563+899</f>
        <v>203462</v>
      </c>
      <c r="Q20" s="14">
        <f t="shared" si="11"/>
        <v>757407</v>
      </c>
      <c r="R20" s="471">
        <v>0</v>
      </c>
      <c r="S20" s="472">
        <v>0</v>
      </c>
      <c r="T20" s="471">
        <v>19.7</v>
      </c>
      <c r="U20" s="471">
        <v>25</v>
      </c>
      <c r="V20" s="471">
        <v>2</v>
      </c>
      <c r="W20" s="472">
        <v>198304</v>
      </c>
      <c r="X20" s="14">
        <f t="shared" si="12"/>
        <v>198304</v>
      </c>
      <c r="Y20" s="145">
        <f t="shared" si="13"/>
        <v>17.25</v>
      </c>
      <c r="Z20" s="14">
        <f t="shared" si="14"/>
        <v>553945</v>
      </c>
      <c r="AA20" s="14">
        <f t="shared" si="15"/>
        <v>401766</v>
      </c>
      <c r="AB20" s="146">
        <f t="shared" si="2"/>
        <v>5.61</v>
      </c>
      <c r="AC20" s="147">
        <f t="shared" si="3"/>
        <v>21.44</v>
      </c>
      <c r="AD20" s="127">
        <f t="shared" si="4"/>
        <v>27.06</v>
      </c>
      <c r="AE20" s="77">
        <f t="shared" si="16"/>
        <v>955711</v>
      </c>
      <c r="AF20" s="155">
        <v>0.03</v>
      </c>
      <c r="AG20" s="282">
        <v>2772041</v>
      </c>
      <c r="AH20" s="282">
        <v>0</v>
      </c>
      <c r="AI20" s="482">
        <f t="shared" si="17"/>
        <v>2772041</v>
      </c>
      <c r="AJ20" s="77">
        <v>90056500</v>
      </c>
      <c r="AK20" s="77">
        <f t="shared" ref="AK20:AK51" si="20">ROUND(AI20/AF20,0)</f>
        <v>92401367</v>
      </c>
      <c r="AL20" s="583">
        <f t="shared" si="18"/>
        <v>2.6037731868327106E-2</v>
      </c>
      <c r="AM20" s="586">
        <f t="shared" si="19"/>
        <v>92401367</v>
      </c>
      <c r="AN20" s="129">
        <f t="shared" si="6"/>
        <v>2.9999999891776492E-2</v>
      </c>
      <c r="AO20" s="129">
        <f t="shared" si="7"/>
        <v>0</v>
      </c>
      <c r="AP20" s="77">
        <v>107042.5</v>
      </c>
      <c r="AQ20" s="77">
        <f t="shared" si="8"/>
        <v>3834794.5</v>
      </c>
      <c r="AR20" s="77">
        <f>ROUND(AQ20/'Table 3 Levels 1&amp;2'!C20,2)</f>
        <v>2529.5500000000002</v>
      </c>
    </row>
    <row r="21" spans="1:44">
      <c r="A21" s="12">
        <v>14</v>
      </c>
      <c r="B21" s="69" t="s">
        <v>106</v>
      </c>
      <c r="C21" s="14">
        <v>159949403</v>
      </c>
      <c r="D21" s="14">
        <v>19797469</v>
      </c>
      <c r="E21" s="14">
        <f t="shared" si="9"/>
        <v>140151934</v>
      </c>
      <c r="F21" s="14">
        <v>136823013</v>
      </c>
      <c r="G21" s="576">
        <f t="shared" si="10"/>
        <v>2.4330124933003777E-2</v>
      </c>
      <c r="H21" s="577">
        <f t="shared" si="1"/>
        <v>140151934</v>
      </c>
      <c r="I21" s="487">
        <v>5.16</v>
      </c>
      <c r="J21" s="472">
        <v>723126</v>
      </c>
      <c r="K21" s="487">
        <v>10.039999999999999</v>
      </c>
      <c r="L21" s="472">
        <v>1407012</v>
      </c>
      <c r="M21" s="471">
        <v>3.16</v>
      </c>
      <c r="N21" s="471">
        <v>11.96</v>
      </c>
      <c r="O21" s="471">
        <v>4</v>
      </c>
      <c r="P21" s="472">
        <v>626576</v>
      </c>
      <c r="Q21" s="14">
        <f t="shared" si="11"/>
        <v>2756714</v>
      </c>
      <c r="R21" s="471">
        <v>0</v>
      </c>
      <c r="S21" s="472">
        <v>0</v>
      </c>
      <c r="T21" s="471">
        <v>13</v>
      </c>
      <c r="U21" s="471">
        <v>16.5</v>
      </c>
      <c r="V21" s="471">
        <v>2</v>
      </c>
      <c r="W21" s="472">
        <v>1098644</v>
      </c>
      <c r="X21" s="14">
        <f t="shared" si="12"/>
        <v>1098644</v>
      </c>
      <c r="Y21" s="145">
        <f t="shared" si="13"/>
        <v>15.2</v>
      </c>
      <c r="Z21" s="14">
        <f t="shared" si="14"/>
        <v>2130138</v>
      </c>
      <c r="AA21" s="14">
        <f t="shared" si="15"/>
        <v>1725220</v>
      </c>
      <c r="AB21" s="146">
        <f t="shared" si="2"/>
        <v>7.84</v>
      </c>
      <c r="AC21" s="147">
        <f t="shared" si="3"/>
        <v>19.670000000000002</v>
      </c>
      <c r="AD21" s="127">
        <f t="shared" si="4"/>
        <v>27.51</v>
      </c>
      <c r="AE21" s="77">
        <f t="shared" si="16"/>
        <v>3855358</v>
      </c>
      <c r="AF21" s="155">
        <v>0.02</v>
      </c>
      <c r="AG21" s="282">
        <v>3549236</v>
      </c>
      <c r="AH21" s="282">
        <v>0</v>
      </c>
      <c r="AI21" s="482">
        <f t="shared" si="17"/>
        <v>3549236</v>
      </c>
      <c r="AJ21" s="77">
        <v>141284300</v>
      </c>
      <c r="AK21" s="77">
        <f t="shared" si="20"/>
        <v>177461800</v>
      </c>
      <c r="AL21" s="585">
        <f t="shared" si="18"/>
        <v>0.25606171386346538</v>
      </c>
      <c r="AM21" s="588">
        <f t="shared" si="19"/>
        <v>162476945</v>
      </c>
      <c r="AN21" s="129">
        <f t="shared" si="6"/>
        <v>0.02</v>
      </c>
      <c r="AO21" s="129">
        <f t="shared" si="7"/>
        <v>0</v>
      </c>
      <c r="AP21" s="77">
        <v>165584</v>
      </c>
      <c r="AQ21" s="77">
        <f t="shared" si="8"/>
        <v>7570178</v>
      </c>
      <c r="AR21" s="77">
        <f>ROUND(AQ21/'Table 3 Levels 1&amp;2'!C21,2)</f>
        <v>4048.22</v>
      </c>
    </row>
    <row r="22" spans="1:44">
      <c r="A22" s="18">
        <v>15</v>
      </c>
      <c r="B22" s="70" t="s">
        <v>107</v>
      </c>
      <c r="C22" s="20">
        <v>160375500</v>
      </c>
      <c r="D22" s="20">
        <v>28357690</v>
      </c>
      <c r="E22" s="20">
        <f t="shared" si="9"/>
        <v>132017810</v>
      </c>
      <c r="F22" s="20">
        <v>129931580</v>
      </c>
      <c r="G22" s="747">
        <f t="shared" si="10"/>
        <v>1.605637366989611E-2</v>
      </c>
      <c r="H22" s="748">
        <f t="shared" si="1"/>
        <v>132017810</v>
      </c>
      <c r="I22" s="488">
        <v>2.84</v>
      </c>
      <c r="J22" s="474">
        <v>378678</v>
      </c>
      <c r="K22" s="488">
        <v>35.08</v>
      </c>
      <c r="L22" s="474">
        <v>4678605</v>
      </c>
      <c r="M22" s="473">
        <v>0</v>
      </c>
      <c r="N22" s="473">
        <v>0</v>
      </c>
      <c r="O22" s="473">
        <v>0</v>
      </c>
      <c r="P22" s="474">
        <v>0</v>
      </c>
      <c r="Q22" s="20">
        <f t="shared" si="11"/>
        <v>5057283</v>
      </c>
      <c r="R22" s="473">
        <v>0</v>
      </c>
      <c r="S22" s="474">
        <v>0</v>
      </c>
      <c r="T22" s="473">
        <v>0</v>
      </c>
      <c r="U22" s="473">
        <v>0</v>
      </c>
      <c r="V22" s="473">
        <v>0</v>
      </c>
      <c r="W22" s="474"/>
      <c r="X22" s="20">
        <f t="shared" si="12"/>
        <v>0</v>
      </c>
      <c r="Y22" s="148">
        <f t="shared" si="13"/>
        <v>37.92</v>
      </c>
      <c r="Z22" s="20">
        <f t="shared" si="14"/>
        <v>5057283</v>
      </c>
      <c r="AA22" s="20">
        <f t="shared" si="15"/>
        <v>0</v>
      </c>
      <c r="AB22" s="149">
        <f t="shared" si="2"/>
        <v>0</v>
      </c>
      <c r="AC22" s="150">
        <f t="shared" si="3"/>
        <v>38.31</v>
      </c>
      <c r="AD22" s="128">
        <f t="shared" si="4"/>
        <v>38.31</v>
      </c>
      <c r="AE22" s="78">
        <f t="shared" si="16"/>
        <v>5057283</v>
      </c>
      <c r="AF22" s="156">
        <v>0.02</v>
      </c>
      <c r="AG22" s="283">
        <v>4977915</v>
      </c>
      <c r="AH22" s="283">
        <v>0</v>
      </c>
      <c r="AI22" s="483">
        <f t="shared" si="17"/>
        <v>4977915</v>
      </c>
      <c r="AJ22" s="78">
        <v>229830000</v>
      </c>
      <c r="AK22" s="78">
        <f t="shared" si="20"/>
        <v>248895750</v>
      </c>
      <c r="AL22" s="584">
        <f t="shared" si="18"/>
        <v>8.2955880433363785E-2</v>
      </c>
      <c r="AM22" s="587">
        <f t="shared" si="19"/>
        <v>248895750</v>
      </c>
      <c r="AN22" s="130">
        <f t="shared" si="6"/>
        <v>0.02</v>
      </c>
      <c r="AO22" s="130">
        <f t="shared" si="7"/>
        <v>0</v>
      </c>
      <c r="AP22" s="78">
        <v>163134</v>
      </c>
      <c r="AQ22" s="78">
        <f t="shared" si="8"/>
        <v>10198332</v>
      </c>
      <c r="AR22" s="78">
        <f>ROUND(AQ22/'Table 3 Levels 1&amp;2'!C22,2)</f>
        <v>2811.78</v>
      </c>
    </row>
    <row r="23" spans="1:44">
      <c r="A23" s="12">
        <v>16</v>
      </c>
      <c r="B23" s="69" t="s">
        <v>108</v>
      </c>
      <c r="C23" s="14">
        <v>635089965</v>
      </c>
      <c r="D23" s="14">
        <v>39328962</v>
      </c>
      <c r="E23" s="14">
        <f t="shared" si="9"/>
        <v>595761003</v>
      </c>
      <c r="F23" s="14">
        <v>432685952</v>
      </c>
      <c r="G23" s="578">
        <f t="shared" si="10"/>
        <v>0.37689009834088627</v>
      </c>
      <c r="H23" s="579">
        <f t="shared" si="1"/>
        <v>475954547.20000005</v>
      </c>
      <c r="I23" s="487">
        <v>4.5599999999999996</v>
      </c>
      <c r="J23" s="472">
        <v>2713496</v>
      </c>
      <c r="K23" s="487">
        <v>39</v>
      </c>
      <c r="L23" s="472">
        <v>23211568</v>
      </c>
      <c r="M23" s="471">
        <v>0</v>
      </c>
      <c r="N23" s="471">
        <v>0</v>
      </c>
      <c r="O23" s="471">
        <v>0</v>
      </c>
      <c r="P23" s="472">
        <v>0</v>
      </c>
      <c r="Q23" s="14">
        <f t="shared" si="11"/>
        <v>25925064</v>
      </c>
      <c r="R23" s="471">
        <v>0</v>
      </c>
      <c r="S23" s="472">
        <v>0</v>
      </c>
      <c r="T23" s="471">
        <v>0</v>
      </c>
      <c r="U23" s="471">
        <v>3</v>
      </c>
      <c r="V23" s="471">
        <v>5</v>
      </c>
      <c r="W23" s="472">
        <v>1240864</v>
      </c>
      <c r="X23" s="14">
        <f t="shared" si="12"/>
        <v>1240864</v>
      </c>
      <c r="Y23" s="145">
        <f t="shared" si="13"/>
        <v>43.56</v>
      </c>
      <c r="Z23" s="14">
        <f t="shared" si="14"/>
        <v>25925064</v>
      </c>
      <c r="AA23" s="14">
        <f t="shared" si="15"/>
        <v>1240864</v>
      </c>
      <c r="AB23" s="146">
        <f t="shared" si="2"/>
        <v>2.08</v>
      </c>
      <c r="AC23" s="147">
        <f t="shared" si="3"/>
        <v>43.52</v>
      </c>
      <c r="AD23" s="127">
        <f t="shared" si="4"/>
        <v>45.6</v>
      </c>
      <c r="AE23" s="77">
        <f t="shared" si="16"/>
        <v>27165928</v>
      </c>
      <c r="AF23" s="155">
        <v>2.5000000000000001E-2</v>
      </c>
      <c r="AG23" s="282">
        <v>46429788</v>
      </c>
      <c r="AH23" s="282">
        <v>1729397</v>
      </c>
      <c r="AI23" s="482">
        <f t="shared" si="17"/>
        <v>48159185</v>
      </c>
      <c r="AJ23" s="77">
        <v>2923471120</v>
      </c>
      <c r="AK23" s="77">
        <f t="shared" si="20"/>
        <v>1926367400</v>
      </c>
      <c r="AL23" s="155">
        <f t="shared" si="18"/>
        <v>-0.34106843511421453</v>
      </c>
      <c r="AM23" s="77">
        <f t="shared" si="19"/>
        <v>1926367400</v>
      </c>
      <c r="AN23" s="129">
        <f t="shared" si="6"/>
        <v>2.4102249653934135E-2</v>
      </c>
      <c r="AO23" s="129">
        <f t="shared" si="7"/>
        <v>8.9775034606586466E-4</v>
      </c>
      <c r="AP23" s="77">
        <v>826429.5</v>
      </c>
      <c r="AQ23" s="77">
        <f t="shared" si="8"/>
        <v>76151542.5</v>
      </c>
      <c r="AR23" s="77">
        <f>ROUND(AQ23/'Table 3 Levels 1&amp;2'!C23,2)</f>
        <v>15371.73</v>
      </c>
    </row>
    <row r="24" spans="1:44" s="75" customFormat="1">
      <c r="A24" s="101">
        <v>17</v>
      </c>
      <c r="B24" s="158" t="s">
        <v>109</v>
      </c>
      <c r="C24" s="77">
        <v>3596222330</v>
      </c>
      <c r="D24" s="77">
        <v>545639350</v>
      </c>
      <c r="E24" s="77">
        <f>C24-D24</f>
        <v>3050582980</v>
      </c>
      <c r="F24" s="77">
        <v>3002326940</v>
      </c>
      <c r="G24" s="576">
        <f t="shared" si="10"/>
        <v>1.6072879791033019E-2</v>
      </c>
      <c r="H24" s="577">
        <f t="shared" si="1"/>
        <v>3050582980</v>
      </c>
      <c r="I24" s="487">
        <v>5.25</v>
      </c>
      <c r="J24" s="472">
        <v>15893272</v>
      </c>
      <c r="K24" s="487">
        <v>38.200000000000003</v>
      </c>
      <c r="L24" s="472">
        <v>115639518</v>
      </c>
      <c r="M24" s="471">
        <v>0</v>
      </c>
      <c r="N24" s="471">
        <v>0</v>
      </c>
      <c r="O24" s="471">
        <v>0</v>
      </c>
      <c r="P24" s="472">
        <v>0</v>
      </c>
      <c r="Q24" s="77">
        <f>J24+L24+P24</f>
        <v>131532790</v>
      </c>
      <c r="R24" s="471">
        <v>0</v>
      </c>
      <c r="S24" s="472">
        <v>0</v>
      </c>
      <c r="T24" s="471">
        <v>0</v>
      </c>
      <c r="U24" s="471">
        <v>0</v>
      </c>
      <c r="V24" s="471">
        <v>0</v>
      </c>
      <c r="W24" s="472">
        <v>0</v>
      </c>
      <c r="X24" s="77">
        <f t="shared" si="12"/>
        <v>0</v>
      </c>
      <c r="Y24" s="159">
        <f t="shared" si="13"/>
        <v>43.45</v>
      </c>
      <c r="Z24" s="77">
        <f t="shared" si="14"/>
        <v>131532790</v>
      </c>
      <c r="AA24" s="77">
        <f t="shared" si="15"/>
        <v>0</v>
      </c>
      <c r="AB24" s="160">
        <f t="shared" si="2"/>
        <v>0</v>
      </c>
      <c r="AC24" s="161">
        <f t="shared" si="3"/>
        <v>43.12</v>
      </c>
      <c r="AD24" s="127">
        <f t="shared" si="4"/>
        <v>43.12</v>
      </c>
      <c r="AE24" s="340">
        <f t="shared" si="16"/>
        <v>131532790</v>
      </c>
      <c r="AF24" s="155">
        <v>0.02</v>
      </c>
      <c r="AG24" s="282">
        <v>157956316</v>
      </c>
      <c r="AH24" s="282">
        <v>0</v>
      </c>
      <c r="AI24" s="482">
        <f t="shared" si="17"/>
        <v>157956316</v>
      </c>
      <c r="AJ24" s="77">
        <v>7404466950</v>
      </c>
      <c r="AK24" s="77">
        <f t="shared" si="20"/>
        <v>7897815800</v>
      </c>
      <c r="AL24" s="583">
        <f t="shared" si="18"/>
        <v>6.6628543733320333E-2</v>
      </c>
      <c r="AM24" s="586">
        <f t="shared" si="19"/>
        <v>7897815800</v>
      </c>
      <c r="AN24" s="129">
        <f t="shared" si="6"/>
        <v>0.02</v>
      </c>
      <c r="AO24" s="129">
        <f t="shared" si="7"/>
        <v>0</v>
      </c>
      <c r="AP24" s="77">
        <v>4087419.5</v>
      </c>
      <c r="AQ24" s="77">
        <f t="shared" si="8"/>
        <v>293576525.5</v>
      </c>
      <c r="AR24" s="77">
        <f>ROUND(AQ24/'Table 3 Levels 1&amp;2'!C24,2)</f>
        <v>6823.24</v>
      </c>
    </row>
    <row r="25" spans="1:44">
      <c r="A25" s="12">
        <v>18</v>
      </c>
      <c r="B25" s="69" t="s">
        <v>110</v>
      </c>
      <c r="C25" s="14">
        <v>42267234</v>
      </c>
      <c r="D25" s="14">
        <v>5681675</v>
      </c>
      <c r="E25" s="14">
        <f t="shared" si="9"/>
        <v>36585559</v>
      </c>
      <c r="F25" s="14">
        <v>36375791</v>
      </c>
      <c r="G25" s="576">
        <f t="shared" si="10"/>
        <v>5.7666924686256308E-3</v>
      </c>
      <c r="H25" s="577">
        <f t="shared" si="1"/>
        <v>36585559</v>
      </c>
      <c r="I25" s="487">
        <v>8.1999999999999993</v>
      </c>
      <c r="J25" s="472">
        <v>290856</v>
      </c>
      <c r="K25" s="487">
        <v>7.99</v>
      </c>
      <c r="L25" s="472">
        <v>289446</v>
      </c>
      <c r="M25" s="471">
        <v>0</v>
      </c>
      <c r="N25" s="471">
        <v>0</v>
      </c>
      <c r="O25" s="471">
        <v>0</v>
      </c>
      <c r="P25" s="472">
        <v>0</v>
      </c>
      <c r="Q25" s="77">
        <f t="shared" si="11"/>
        <v>580302</v>
      </c>
      <c r="R25" s="471">
        <v>0</v>
      </c>
      <c r="S25" s="472">
        <v>0</v>
      </c>
      <c r="T25" s="471">
        <v>0</v>
      </c>
      <c r="U25" s="471">
        <v>0</v>
      </c>
      <c r="V25" s="471">
        <v>0</v>
      </c>
      <c r="W25" s="472"/>
      <c r="X25" s="14">
        <f t="shared" si="12"/>
        <v>0</v>
      </c>
      <c r="Y25" s="145">
        <f t="shared" si="13"/>
        <v>16.189999999999998</v>
      </c>
      <c r="Z25" s="14">
        <f t="shared" si="14"/>
        <v>580302</v>
      </c>
      <c r="AA25" s="14">
        <f t="shared" si="15"/>
        <v>0</v>
      </c>
      <c r="AB25" s="146">
        <f t="shared" si="2"/>
        <v>0</v>
      </c>
      <c r="AC25" s="147">
        <f t="shared" si="3"/>
        <v>15.86</v>
      </c>
      <c r="AD25" s="127">
        <f t="shared" si="4"/>
        <v>15.86</v>
      </c>
      <c r="AE25" s="77">
        <f t="shared" si="16"/>
        <v>580302</v>
      </c>
      <c r="AF25" s="155">
        <v>0.03</v>
      </c>
      <c r="AG25" s="282">
        <v>1835065</v>
      </c>
      <c r="AH25" s="282">
        <v>0</v>
      </c>
      <c r="AI25" s="482">
        <f t="shared" si="17"/>
        <v>1835065</v>
      </c>
      <c r="AJ25" s="77">
        <v>46597767</v>
      </c>
      <c r="AK25" s="77">
        <f t="shared" si="20"/>
        <v>61168833</v>
      </c>
      <c r="AL25" s="585">
        <f t="shared" si="18"/>
        <v>0.31269880378602694</v>
      </c>
      <c r="AM25" s="588">
        <f t="shared" si="19"/>
        <v>53587432.049999997</v>
      </c>
      <c r="AN25" s="129">
        <f t="shared" si="6"/>
        <v>3.0000000163481949E-2</v>
      </c>
      <c r="AO25" s="129">
        <f t="shared" si="7"/>
        <v>0</v>
      </c>
      <c r="AP25" s="77">
        <v>131381.5</v>
      </c>
      <c r="AQ25" s="77">
        <f t="shared" si="8"/>
        <v>2546748.5</v>
      </c>
      <c r="AR25" s="77">
        <f>ROUND(AQ25/'Table 3 Levels 1&amp;2'!C25,2)</f>
        <v>2286.13</v>
      </c>
    </row>
    <row r="26" spans="1:44">
      <c r="A26" s="12">
        <v>19</v>
      </c>
      <c r="B26" s="69" t="s">
        <v>111</v>
      </c>
      <c r="C26" s="14">
        <v>143432690</v>
      </c>
      <c r="D26" s="14">
        <v>35429090</v>
      </c>
      <c r="E26" s="14">
        <f t="shared" si="9"/>
        <v>108003600</v>
      </c>
      <c r="F26" s="14">
        <v>103771869</v>
      </c>
      <c r="G26" s="576">
        <f t="shared" si="10"/>
        <v>4.0779173014605721E-2</v>
      </c>
      <c r="H26" s="577">
        <f t="shared" si="1"/>
        <v>108003600</v>
      </c>
      <c r="I26" s="487">
        <v>3.34</v>
      </c>
      <c r="J26" s="472">
        <v>352031</v>
      </c>
      <c r="K26" s="487">
        <v>17</v>
      </c>
      <c r="L26" s="472">
        <v>1791604</v>
      </c>
      <c r="M26" s="471">
        <v>0</v>
      </c>
      <c r="N26" s="471">
        <v>0</v>
      </c>
      <c r="O26" s="471">
        <v>0</v>
      </c>
      <c r="P26" s="472">
        <v>0</v>
      </c>
      <c r="Q26" s="77">
        <f t="shared" si="11"/>
        <v>2143635</v>
      </c>
      <c r="R26" s="471">
        <v>0</v>
      </c>
      <c r="S26" s="472">
        <v>0</v>
      </c>
      <c r="T26" s="471">
        <v>0</v>
      </c>
      <c r="U26" s="471">
        <v>0</v>
      </c>
      <c r="V26" s="471">
        <v>0</v>
      </c>
      <c r="W26" s="472"/>
      <c r="X26" s="14">
        <f t="shared" si="12"/>
        <v>0</v>
      </c>
      <c r="Y26" s="145">
        <f t="shared" si="13"/>
        <v>20.34</v>
      </c>
      <c r="Z26" s="14">
        <f t="shared" si="14"/>
        <v>2143635</v>
      </c>
      <c r="AA26" s="14">
        <f t="shared" si="15"/>
        <v>0</v>
      </c>
      <c r="AB26" s="146">
        <f t="shared" si="2"/>
        <v>0</v>
      </c>
      <c r="AC26" s="147">
        <f t="shared" si="3"/>
        <v>19.850000000000001</v>
      </c>
      <c r="AD26" s="127">
        <f t="shared" si="4"/>
        <v>19.850000000000001</v>
      </c>
      <c r="AE26" s="77">
        <f t="shared" si="16"/>
        <v>2143635</v>
      </c>
      <c r="AF26" s="155">
        <v>0.02</v>
      </c>
      <c r="AG26" s="282">
        <v>3050354</v>
      </c>
      <c r="AH26" s="282">
        <v>0</v>
      </c>
      <c r="AI26" s="482">
        <f t="shared" si="17"/>
        <v>3050354</v>
      </c>
      <c r="AJ26" s="77">
        <v>115682500</v>
      </c>
      <c r="AK26" s="77">
        <f t="shared" si="20"/>
        <v>152517700</v>
      </c>
      <c r="AL26" s="585">
        <f t="shared" si="18"/>
        <v>0.3184163551098913</v>
      </c>
      <c r="AM26" s="588">
        <f t="shared" si="19"/>
        <v>133034874.99999999</v>
      </c>
      <c r="AN26" s="129">
        <f t="shared" si="6"/>
        <v>0.02</v>
      </c>
      <c r="AO26" s="129">
        <f t="shared" si="7"/>
        <v>0</v>
      </c>
      <c r="AP26" s="77">
        <v>103649.5</v>
      </c>
      <c r="AQ26" s="77">
        <f t="shared" si="8"/>
        <v>5297638.5</v>
      </c>
      <c r="AR26" s="77">
        <f>ROUND(AQ26/'Table 3 Levels 1&amp;2'!C26,2)</f>
        <v>2762.06</v>
      </c>
    </row>
    <row r="27" spans="1:44">
      <c r="A27" s="18">
        <v>20</v>
      </c>
      <c r="B27" s="70" t="s">
        <v>112</v>
      </c>
      <c r="C27" s="20">
        <v>269543700</v>
      </c>
      <c r="D27" s="20">
        <v>48409060</v>
      </c>
      <c r="E27" s="20">
        <f t="shared" si="9"/>
        <v>221134640</v>
      </c>
      <c r="F27" s="20">
        <v>177767810</v>
      </c>
      <c r="G27" s="580">
        <f t="shared" si="10"/>
        <v>0.24395209683912966</v>
      </c>
      <c r="H27" s="581">
        <f t="shared" si="1"/>
        <v>195544591.00000003</v>
      </c>
      <c r="I27" s="488">
        <v>4.67</v>
      </c>
      <c r="J27" s="474">
        <v>968236</v>
      </c>
      <c r="K27" s="488">
        <v>10.35</v>
      </c>
      <c r="L27" s="474">
        <v>2070835</v>
      </c>
      <c r="M27" s="473">
        <v>2.02</v>
      </c>
      <c r="N27" s="473">
        <v>12.32</v>
      </c>
      <c r="O27" s="473">
        <v>3</v>
      </c>
      <c r="P27" s="474">
        <v>2973872</v>
      </c>
      <c r="Q27" s="78">
        <f t="shared" si="11"/>
        <v>6012943</v>
      </c>
      <c r="R27" s="473">
        <v>0</v>
      </c>
      <c r="S27" s="474">
        <v>0</v>
      </c>
      <c r="T27" s="473">
        <v>14</v>
      </c>
      <c r="U27" s="473">
        <v>14</v>
      </c>
      <c r="V27" s="473">
        <v>1</v>
      </c>
      <c r="W27" s="474">
        <v>435410</v>
      </c>
      <c r="X27" s="20">
        <f t="shared" si="12"/>
        <v>435410</v>
      </c>
      <c r="Y27" s="148">
        <f t="shared" si="13"/>
        <v>15.02</v>
      </c>
      <c r="Z27" s="20">
        <f t="shared" si="14"/>
        <v>3039071</v>
      </c>
      <c r="AA27" s="20">
        <f t="shared" si="15"/>
        <v>3409282</v>
      </c>
      <c r="AB27" s="149">
        <f t="shared" si="2"/>
        <v>1.97</v>
      </c>
      <c r="AC27" s="150">
        <f t="shared" si="3"/>
        <v>27.19</v>
      </c>
      <c r="AD27" s="128">
        <f t="shared" si="4"/>
        <v>29.16</v>
      </c>
      <c r="AE27" s="78">
        <f t="shared" si="16"/>
        <v>6448353</v>
      </c>
      <c r="AF27" s="156">
        <v>0.02</v>
      </c>
      <c r="AG27" s="283">
        <v>7729294</v>
      </c>
      <c r="AH27" s="283">
        <v>0</v>
      </c>
      <c r="AI27" s="483">
        <f t="shared" si="17"/>
        <v>7729294</v>
      </c>
      <c r="AJ27" s="78">
        <v>365605550</v>
      </c>
      <c r="AK27" s="78">
        <f t="shared" si="20"/>
        <v>386464700</v>
      </c>
      <c r="AL27" s="584">
        <f t="shared" si="18"/>
        <v>5.7053701728543238E-2</v>
      </c>
      <c r="AM27" s="587">
        <f t="shared" si="19"/>
        <v>386464700</v>
      </c>
      <c r="AN27" s="130">
        <f t="shared" si="6"/>
        <v>0.02</v>
      </c>
      <c r="AO27" s="130">
        <f t="shared" si="7"/>
        <v>0</v>
      </c>
      <c r="AP27" s="78">
        <v>217794</v>
      </c>
      <c r="AQ27" s="78">
        <f t="shared" si="8"/>
        <v>14395441</v>
      </c>
      <c r="AR27" s="78">
        <f>ROUND(AQ27/'Table 3 Levels 1&amp;2'!C27,2)</f>
        <v>2442.8000000000002</v>
      </c>
    </row>
    <row r="28" spans="1:44">
      <c r="A28" s="12">
        <v>21</v>
      </c>
      <c r="B28" s="69" t="s">
        <v>113</v>
      </c>
      <c r="C28" s="14">
        <v>96917108</v>
      </c>
      <c r="D28" s="14">
        <v>27652652</v>
      </c>
      <c r="E28" s="14">
        <f t="shared" si="9"/>
        <v>69264456</v>
      </c>
      <c r="F28" s="14">
        <v>59307949</v>
      </c>
      <c r="G28" s="578">
        <f t="shared" si="10"/>
        <v>0.16787812035111854</v>
      </c>
      <c r="H28" s="579">
        <f t="shared" si="1"/>
        <v>65238743.900000006</v>
      </c>
      <c r="I28" s="487">
        <v>4.45</v>
      </c>
      <c r="J28" s="472">
        <v>304185</v>
      </c>
      <c r="K28" s="487">
        <v>19.93</v>
      </c>
      <c r="L28" s="472">
        <v>1329651</v>
      </c>
      <c r="M28" s="471">
        <v>19.93</v>
      </c>
      <c r="N28" s="471">
        <v>19.93</v>
      </c>
      <c r="O28" s="471">
        <v>0</v>
      </c>
      <c r="P28" s="472">
        <v>0</v>
      </c>
      <c r="Q28" s="77">
        <f t="shared" si="11"/>
        <v>1633836</v>
      </c>
      <c r="R28" s="471">
        <v>0</v>
      </c>
      <c r="S28" s="472">
        <v>0</v>
      </c>
      <c r="T28" s="471">
        <v>0</v>
      </c>
      <c r="U28" s="471">
        <v>0</v>
      </c>
      <c r="V28" s="471">
        <v>0</v>
      </c>
      <c r="W28" s="472"/>
      <c r="X28" s="14">
        <f t="shared" si="12"/>
        <v>0</v>
      </c>
      <c r="Y28" s="145">
        <f t="shared" si="13"/>
        <v>24.38</v>
      </c>
      <c r="Z28" s="14">
        <f t="shared" si="14"/>
        <v>1633836</v>
      </c>
      <c r="AA28" s="14">
        <f t="shared" si="15"/>
        <v>0</v>
      </c>
      <c r="AB28" s="146">
        <f t="shared" si="2"/>
        <v>0</v>
      </c>
      <c r="AC28" s="147">
        <f t="shared" si="3"/>
        <v>23.59</v>
      </c>
      <c r="AD28" s="127">
        <f t="shared" si="4"/>
        <v>23.59</v>
      </c>
      <c r="AE28" s="77">
        <f t="shared" si="16"/>
        <v>1633836</v>
      </c>
      <c r="AF28" s="155">
        <v>0.02</v>
      </c>
      <c r="AG28" s="282">
        <v>4813265</v>
      </c>
      <c r="AH28" s="282">
        <v>0</v>
      </c>
      <c r="AI28" s="482">
        <f t="shared" si="17"/>
        <v>4813265</v>
      </c>
      <c r="AJ28" s="77">
        <v>233452200</v>
      </c>
      <c r="AK28" s="77">
        <f t="shared" si="20"/>
        <v>240663250</v>
      </c>
      <c r="AL28" s="583">
        <f t="shared" si="18"/>
        <v>3.0888764380888251E-2</v>
      </c>
      <c r="AM28" s="586">
        <f t="shared" si="19"/>
        <v>240663250</v>
      </c>
      <c r="AN28" s="129">
        <f t="shared" si="6"/>
        <v>0.02</v>
      </c>
      <c r="AO28" s="129">
        <f t="shared" si="7"/>
        <v>0</v>
      </c>
      <c r="AP28" s="77">
        <v>302697.5</v>
      </c>
      <c r="AQ28" s="77">
        <f t="shared" si="8"/>
        <v>6749798.5</v>
      </c>
      <c r="AR28" s="77">
        <f>ROUND(AQ28/'Table 3 Levels 1&amp;2'!C28,2)</f>
        <v>2274.96</v>
      </c>
    </row>
    <row r="29" spans="1:44">
      <c r="A29" s="12">
        <v>22</v>
      </c>
      <c r="B29" s="69" t="s">
        <v>114</v>
      </c>
      <c r="C29" s="14">
        <v>66086000</v>
      </c>
      <c r="D29" s="14">
        <v>28655333</v>
      </c>
      <c r="E29" s="14">
        <f t="shared" si="9"/>
        <v>37430667</v>
      </c>
      <c r="F29" s="14">
        <v>38647278</v>
      </c>
      <c r="G29" s="576">
        <f t="shared" si="10"/>
        <v>-3.147986256625887E-2</v>
      </c>
      <c r="H29" s="577">
        <f t="shared" si="1"/>
        <v>37430667</v>
      </c>
      <c r="I29" s="487">
        <v>5.82</v>
      </c>
      <c r="J29" s="472">
        <v>216997</v>
      </c>
      <c r="K29" s="487">
        <v>24.12</v>
      </c>
      <c r="L29" s="472">
        <v>705796</v>
      </c>
      <c r="M29" s="471">
        <v>1.98</v>
      </c>
      <c r="N29" s="471">
        <v>16.12</v>
      </c>
      <c r="O29" s="471">
        <v>8</v>
      </c>
      <c r="P29" s="472">
        <v>568867</v>
      </c>
      <c r="Q29" s="77">
        <f t="shared" si="11"/>
        <v>1491660</v>
      </c>
      <c r="R29" s="471">
        <v>0</v>
      </c>
      <c r="S29" s="472">
        <v>0</v>
      </c>
      <c r="T29" s="471">
        <v>0</v>
      </c>
      <c r="U29" s="471">
        <v>38</v>
      </c>
      <c r="V29" s="471">
        <v>1</v>
      </c>
      <c r="W29" s="472">
        <v>1139430</v>
      </c>
      <c r="X29" s="14">
        <f t="shared" si="12"/>
        <v>1139430</v>
      </c>
      <c r="Y29" s="145">
        <f t="shared" si="13"/>
        <v>29.94</v>
      </c>
      <c r="Z29" s="14">
        <f t="shared" si="14"/>
        <v>922793</v>
      </c>
      <c r="AA29" s="14">
        <f t="shared" si="15"/>
        <v>1708297</v>
      </c>
      <c r="AB29" s="146">
        <f t="shared" si="2"/>
        <v>30.44</v>
      </c>
      <c r="AC29" s="147">
        <f t="shared" si="3"/>
        <v>39.85</v>
      </c>
      <c r="AD29" s="127">
        <f t="shared" si="4"/>
        <v>70.290000000000006</v>
      </c>
      <c r="AE29" s="77">
        <f t="shared" si="16"/>
        <v>2631090</v>
      </c>
      <c r="AF29" s="155">
        <v>0.02</v>
      </c>
      <c r="AG29" s="282">
        <v>2048816</v>
      </c>
      <c r="AH29" s="282">
        <v>0</v>
      </c>
      <c r="AI29" s="482">
        <f t="shared" si="17"/>
        <v>2048816</v>
      </c>
      <c r="AJ29" s="77">
        <v>101703500</v>
      </c>
      <c r="AK29" s="77">
        <f t="shared" si="20"/>
        <v>102440800</v>
      </c>
      <c r="AL29" s="583">
        <f t="shared" si="18"/>
        <v>7.249504687645951E-3</v>
      </c>
      <c r="AM29" s="586">
        <f t="shared" si="19"/>
        <v>102440800</v>
      </c>
      <c r="AN29" s="129">
        <f t="shared" si="6"/>
        <v>0.02</v>
      </c>
      <c r="AO29" s="129">
        <f t="shared" si="7"/>
        <v>0</v>
      </c>
      <c r="AP29" s="77">
        <v>500783</v>
      </c>
      <c r="AQ29" s="77">
        <f t="shared" si="8"/>
        <v>5180689</v>
      </c>
      <c r="AR29" s="77">
        <f>ROUND(AQ29/'Table 3 Levels 1&amp;2'!C29,2)</f>
        <v>1613.92</v>
      </c>
    </row>
    <row r="30" spans="1:44">
      <c r="A30" s="12">
        <v>23</v>
      </c>
      <c r="B30" s="69" t="s">
        <v>115</v>
      </c>
      <c r="C30" s="14">
        <v>606873200</v>
      </c>
      <c r="D30" s="14">
        <v>109883187</v>
      </c>
      <c r="E30" s="14">
        <f t="shared" si="9"/>
        <v>496990013</v>
      </c>
      <c r="F30" s="14">
        <v>507692565</v>
      </c>
      <c r="G30" s="576">
        <f t="shared" si="10"/>
        <v>-2.1080773558304917E-2</v>
      </c>
      <c r="H30" s="577">
        <f t="shared" si="1"/>
        <v>496990013</v>
      </c>
      <c r="I30" s="487">
        <v>4.47</v>
      </c>
      <c r="J30" s="472">
        <v>2187831</v>
      </c>
      <c r="K30" s="487">
        <v>6.23</v>
      </c>
      <c r="L30" s="472">
        <v>3051208</v>
      </c>
      <c r="M30" s="471">
        <v>0</v>
      </c>
      <c r="N30" s="471">
        <v>0</v>
      </c>
      <c r="O30" s="471">
        <v>0</v>
      </c>
      <c r="P30" s="472">
        <v>0</v>
      </c>
      <c r="Q30" s="77">
        <f t="shared" si="11"/>
        <v>5239039</v>
      </c>
      <c r="R30" s="471">
        <v>21.9</v>
      </c>
      <c r="S30" s="472">
        <v>10738053</v>
      </c>
      <c r="T30" s="471">
        <v>0</v>
      </c>
      <c r="U30" s="471">
        <v>0</v>
      </c>
      <c r="V30" s="471">
        <v>0</v>
      </c>
      <c r="W30" s="472">
        <v>0</v>
      </c>
      <c r="X30" s="14">
        <f t="shared" si="12"/>
        <v>10738053</v>
      </c>
      <c r="Y30" s="145">
        <f t="shared" si="13"/>
        <v>32.599999999999994</v>
      </c>
      <c r="Z30" s="14">
        <f t="shared" si="14"/>
        <v>15977092</v>
      </c>
      <c r="AA30" s="14">
        <f t="shared" si="15"/>
        <v>0</v>
      </c>
      <c r="AB30" s="146">
        <f t="shared" si="2"/>
        <v>21.61</v>
      </c>
      <c r="AC30" s="147">
        <f t="shared" si="3"/>
        <v>10.54</v>
      </c>
      <c r="AD30" s="127">
        <f t="shared" si="4"/>
        <v>32.15</v>
      </c>
      <c r="AE30" s="77">
        <f t="shared" si="16"/>
        <v>15977092</v>
      </c>
      <c r="AF30" s="155">
        <v>0.02</v>
      </c>
      <c r="AG30" s="282">
        <v>28486445</v>
      </c>
      <c r="AH30" s="282">
        <v>0</v>
      </c>
      <c r="AI30" s="482">
        <f t="shared" si="17"/>
        <v>28486445</v>
      </c>
      <c r="AJ30" s="77">
        <v>1259993000</v>
      </c>
      <c r="AK30" s="77">
        <f t="shared" si="20"/>
        <v>1424322250</v>
      </c>
      <c r="AL30" s="583">
        <f t="shared" si="18"/>
        <v>0.13042076424234103</v>
      </c>
      <c r="AM30" s="586">
        <f t="shared" si="19"/>
        <v>1424322250</v>
      </c>
      <c r="AN30" s="129">
        <f t="shared" si="6"/>
        <v>0.02</v>
      </c>
      <c r="AO30" s="129">
        <f t="shared" si="7"/>
        <v>0</v>
      </c>
      <c r="AP30" s="77">
        <v>566332</v>
      </c>
      <c r="AQ30" s="77">
        <f t="shared" si="8"/>
        <v>45029869</v>
      </c>
      <c r="AR30" s="77">
        <f>ROUND(AQ30/'Table 3 Levels 1&amp;2'!C30,2)</f>
        <v>3353.43</v>
      </c>
    </row>
    <row r="31" spans="1:44">
      <c r="A31" s="12">
        <v>24</v>
      </c>
      <c r="B31" s="69" t="s">
        <v>116</v>
      </c>
      <c r="C31" s="14">
        <v>469332572</v>
      </c>
      <c r="D31" s="14">
        <v>44984992</v>
      </c>
      <c r="E31" s="14">
        <f t="shared" si="9"/>
        <v>424347580</v>
      </c>
      <c r="F31" s="14">
        <v>412190548</v>
      </c>
      <c r="G31" s="576">
        <f t="shared" si="10"/>
        <v>2.9493718521658094E-2</v>
      </c>
      <c r="H31" s="577">
        <f t="shared" si="1"/>
        <v>424347580</v>
      </c>
      <c r="I31" s="487">
        <v>3.49</v>
      </c>
      <c r="J31" s="472">
        <v>1464679</v>
      </c>
      <c r="K31" s="487">
        <v>53.17</v>
      </c>
      <c r="L31" s="472">
        <v>19214327</v>
      </c>
      <c r="M31" s="471">
        <v>0</v>
      </c>
      <c r="N31" s="471">
        <v>0</v>
      </c>
      <c r="O31" s="471">
        <v>0</v>
      </c>
      <c r="P31" s="472">
        <v>0</v>
      </c>
      <c r="Q31" s="77">
        <f t="shared" si="11"/>
        <v>20679006</v>
      </c>
      <c r="R31" s="471">
        <v>0</v>
      </c>
      <c r="S31" s="472">
        <v>3100000</v>
      </c>
      <c r="T31" s="471">
        <v>0</v>
      </c>
      <c r="U31" s="471">
        <v>0</v>
      </c>
      <c r="V31" s="471">
        <v>0</v>
      </c>
      <c r="W31" s="472">
        <v>0</v>
      </c>
      <c r="X31" s="14">
        <f t="shared" si="12"/>
        <v>3100000</v>
      </c>
      <c r="Y31" s="145">
        <f t="shared" si="13"/>
        <v>56.660000000000004</v>
      </c>
      <c r="Z31" s="14">
        <f t="shared" si="14"/>
        <v>23779006</v>
      </c>
      <c r="AA31" s="14">
        <f t="shared" si="15"/>
        <v>0</v>
      </c>
      <c r="AB31" s="146">
        <f t="shared" si="2"/>
        <v>7.31</v>
      </c>
      <c r="AC31" s="147">
        <f t="shared" si="3"/>
        <v>48.73</v>
      </c>
      <c r="AD31" s="127">
        <f t="shared" si="4"/>
        <v>56.04</v>
      </c>
      <c r="AE31" s="77">
        <f t="shared" si="16"/>
        <v>23779006</v>
      </c>
      <c r="AF31" s="155">
        <v>0.02</v>
      </c>
      <c r="AG31" s="282">
        <v>18663520</v>
      </c>
      <c r="AH31" s="282">
        <v>0</v>
      </c>
      <c r="AI31" s="482">
        <f t="shared" si="17"/>
        <v>18663520</v>
      </c>
      <c r="AJ31" s="77">
        <v>962971950</v>
      </c>
      <c r="AK31" s="77">
        <f t="shared" si="20"/>
        <v>933176000</v>
      </c>
      <c r="AL31" s="583">
        <f t="shared" si="18"/>
        <v>-3.0941659307937266E-2</v>
      </c>
      <c r="AM31" s="586">
        <f t="shared" si="19"/>
        <v>933176000</v>
      </c>
      <c r="AN31" s="129">
        <f t="shared" si="6"/>
        <v>0.02</v>
      </c>
      <c r="AO31" s="129">
        <f t="shared" si="7"/>
        <v>0</v>
      </c>
      <c r="AP31" s="77">
        <v>144561</v>
      </c>
      <c r="AQ31" s="77">
        <f t="shared" si="8"/>
        <v>42587087</v>
      </c>
      <c r="AR31" s="77">
        <f>ROUND(AQ31/'Table 3 Levels 1&amp;2'!C31,2)</f>
        <v>9438.6299999999992</v>
      </c>
    </row>
    <row r="32" spans="1:44">
      <c r="A32" s="18">
        <v>25</v>
      </c>
      <c r="B32" s="70" t="s">
        <v>117</v>
      </c>
      <c r="C32" s="20">
        <v>254041840</v>
      </c>
      <c r="D32" s="20">
        <v>19432690</v>
      </c>
      <c r="E32" s="20">
        <f t="shared" si="9"/>
        <v>234609150</v>
      </c>
      <c r="F32" s="20">
        <v>205225430</v>
      </c>
      <c r="G32" s="580">
        <f t="shared" si="10"/>
        <v>0.14317777285202909</v>
      </c>
      <c r="H32" s="581">
        <f t="shared" si="1"/>
        <v>225747973.00000003</v>
      </c>
      <c r="I32" s="488">
        <v>4.4000000000000004</v>
      </c>
      <c r="J32" s="474">
        <v>1028220</v>
      </c>
      <c r="K32" s="488">
        <v>19.079999999999998</v>
      </c>
      <c r="L32" s="474">
        <v>4459643</v>
      </c>
      <c r="M32" s="473">
        <v>0</v>
      </c>
      <c r="N32" s="473">
        <v>0</v>
      </c>
      <c r="O32" s="473">
        <v>0</v>
      </c>
      <c r="P32" s="474">
        <v>0</v>
      </c>
      <c r="Q32" s="78">
        <f t="shared" si="11"/>
        <v>5487863</v>
      </c>
      <c r="R32" s="473">
        <v>0</v>
      </c>
      <c r="S32" s="474">
        <v>370523</v>
      </c>
      <c r="T32" s="473">
        <v>1</v>
      </c>
      <c r="U32" s="473">
        <v>10</v>
      </c>
      <c r="V32" s="473">
        <v>3</v>
      </c>
      <c r="W32" s="474">
        <v>0</v>
      </c>
      <c r="X32" s="20">
        <f t="shared" si="12"/>
        <v>370523</v>
      </c>
      <c r="Y32" s="148">
        <f t="shared" si="13"/>
        <v>23.479999999999997</v>
      </c>
      <c r="Z32" s="20">
        <f t="shared" si="14"/>
        <v>5858386</v>
      </c>
      <c r="AA32" s="20">
        <f t="shared" si="15"/>
        <v>0</v>
      </c>
      <c r="AB32" s="149">
        <f t="shared" si="2"/>
        <v>1.58</v>
      </c>
      <c r="AC32" s="150">
        <f t="shared" si="3"/>
        <v>23.39</v>
      </c>
      <c r="AD32" s="128">
        <f t="shared" si="4"/>
        <v>24.97</v>
      </c>
      <c r="AE32" s="78">
        <f t="shared" si="16"/>
        <v>5858386</v>
      </c>
      <c r="AF32" s="156">
        <v>0.03</v>
      </c>
      <c r="AG32" s="283">
        <v>6066114</v>
      </c>
      <c r="AH32" s="283">
        <v>0</v>
      </c>
      <c r="AI32" s="483">
        <f t="shared" si="17"/>
        <v>6066114</v>
      </c>
      <c r="AJ32" s="78">
        <v>208921633</v>
      </c>
      <c r="AK32" s="78">
        <f t="shared" si="20"/>
        <v>202203800</v>
      </c>
      <c r="AL32" s="584">
        <f t="shared" si="18"/>
        <v>-3.2154798445405607E-2</v>
      </c>
      <c r="AM32" s="587">
        <f t="shared" si="19"/>
        <v>202203800</v>
      </c>
      <c r="AN32" s="130">
        <f t="shared" si="6"/>
        <v>0.03</v>
      </c>
      <c r="AO32" s="130">
        <f t="shared" si="7"/>
        <v>0</v>
      </c>
      <c r="AP32" s="78">
        <v>111624</v>
      </c>
      <c r="AQ32" s="78">
        <f t="shared" si="8"/>
        <v>12036124</v>
      </c>
      <c r="AR32" s="78">
        <f>ROUND(AQ32/'Table 3 Levels 1&amp;2'!C32,2)</f>
        <v>5414.36</v>
      </c>
    </row>
    <row r="33" spans="1:44" s="75" customFormat="1">
      <c r="A33" s="101">
        <v>26</v>
      </c>
      <c r="B33" s="158" t="s">
        <v>118</v>
      </c>
      <c r="C33" s="77">
        <v>4004920022</v>
      </c>
      <c r="D33" s="77">
        <v>757359030</v>
      </c>
      <c r="E33" s="14">
        <f t="shared" si="9"/>
        <v>3247560992</v>
      </c>
      <c r="F33" s="77">
        <v>3234560195</v>
      </c>
      <c r="G33" s="576">
        <f t="shared" si="10"/>
        <v>4.019339946153019E-3</v>
      </c>
      <c r="H33" s="577">
        <f t="shared" si="1"/>
        <v>3247560992</v>
      </c>
      <c r="I33" s="487">
        <v>2.91</v>
      </c>
      <c r="J33" s="472">
        <v>9427855</v>
      </c>
      <c r="K33" s="487">
        <v>20</v>
      </c>
      <c r="L33" s="472">
        <v>64715549</v>
      </c>
      <c r="M33" s="471">
        <v>0</v>
      </c>
      <c r="N33" s="471">
        <v>0</v>
      </c>
      <c r="O33" s="471">
        <v>0</v>
      </c>
      <c r="P33" s="472">
        <v>0</v>
      </c>
      <c r="Q33" s="77">
        <f t="shared" si="11"/>
        <v>74143404</v>
      </c>
      <c r="R33" s="471">
        <v>0</v>
      </c>
      <c r="S33" s="472">
        <v>0</v>
      </c>
      <c r="T33" s="471">
        <v>0</v>
      </c>
      <c r="U33" s="471">
        <v>0</v>
      </c>
      <c r="V33" s="471">
        <v>0</v>
      </c>
      <c r="W33" s="472">
        <v>0</v>
      </c>
      <c r="X33" s="77">
        <f t="shared" si="12"/>
        <v>0</v>
      </c>
      <c r="Y33" s="159">
        <f t="shared" si="13"/>
        <v>22.91</v>
      </c>
      <c r="Z33" s="77">
        <f t="shared" si="14"/>
        <v>74143404</v>
      </c>
      <c r="AA33" s="77">
        <f t="shared" si="15"/>
        <v>0</v>
      </c>
      <c r="AB33" s="160">
        <f t="shared" si="2"/>
        <v>0</v>
      </c>
      <c r="AC33" s="161">
        <f t="shared" si="3"/>
        <v>22.83</v>
      </c>
      <c r="AD33" s="127">
        <f t="shared" si="4"/>
        <v>22.83</v>
      </c>
      <c r="AE33" s="77">
        <f t="shared" si="16"/>
        <v>74143404</v>
      </c>
      <c r="AF33" s="155">
        <v>0.02</v>
      </c>
      <c r="AG33" s="282">
        <v>170801950</v>
      </c>
      <c r="AH33" s="282">
        <v>0</v>
      </c>
      <c r="AI33" s="482">
        <f t="shared" si="17"/>
        <v>170801950</v>
      </c>
      <c r="AJ33" s="77">
        <v>8672961650</v>
      </c>
      <c r="AK33" s="77">
        <f t="shared" si="20"/>
        <v>8540097500</v>
      </c>
      <c r="AL33" s="583">
        <f t="shared" si="18"/>
        <v>-1.5319351723410422E-2</v>
      </c>
      <c r="AM33" s="586">
        <f t="shared" si="19"/>
        <v>8540097500</v>
      </c>
      <c r="AN33" s="129">
        <f t="shared" si="6"/>
        <v>0.02</v>
      </c>
      <c r="AO33" s="129">
        <f t="shared" si="7"/>
        <v>0</v>
      </c>
      <c r="AP33" s="77">
        <v>2145651</v>
      </c>
      <c r="AQ33" s="77">
        <f t="shared" si="8"/>
        <v>247091005</v>
      </c>
      <c r="AR33" s="77">
        <f>ROUND(AQ33/'Table 3 Levels 1&amp;2'!C33,2)</f>
        <v>5616.47</v>
      </c>
    </row>
    <row r="34" spans="1:44">
      <c r="A34" s="12">
        <v>27</v>
      </c>
      <c r="B34" s="69" t="s">
        <v>119</v>
      </c>
      <c r="C34" s="14">
        <v>223782762</v>
      </c>
      <c r="D34" s="14">
        <v>46005700</v>
      </c>
      <c r="E34" s="14">
        <f t="shared" si="9"/>
        <v>177777062</v>
      </c>
      <c r="F34" s="14">
        <v>174156213</v>
      </c>
      <c r="G34" s="576">
        <f t="shared" si="10"/>
        <v>2.0790811522756296E-2</v>
      </c>
      <c r="H34" s="577">
        <f t="shared" si="1"/>
        <v>177777062</v>
      </c>
      <c r="I34" s="487">
        <v>6.48</v>
      </c>
      <c r="J34" s="472">
        <v>1142639</v>
      </c>
      <c r="K34" s="487">
        <v>10.77</v>
      </c>
      <c r="L34" s="472">
        <v>1899105</v>
      </c>
      <c r="M34" s="471">
        <v>4.0199999999999996</v>
      </c>
      <c r="N34" s="471">
        <v>17.3</v>
      </c>
      <c r="O34" s="471">
        <v>7</v>
      </c>
      <c r="P34" s="472">
        <v>2061866</v>
      </c>
      <c r="Q34" s="77">
        <f t="shared" si="11"/>
        <v>5103610</v>
      </c>
      <c r="R34" s="471">
        <v>0</v>
      </c>
      <c r="S34" s="472">
        <v>0</v>
      </c>
      <c r="T34" s="471">
        <v>3.3</v>
      </c>
      <c r="U34" s="471">
        <v>17.55</v>
      </c>
      <c r="V34" s="471">
        <v>7</v>
      </c>
      <c r="W34" s="472">
        <v>2015863</v>
      </c>
      <c r="X34" s="14">
        <f t="shared" si="12"/>
        <v>2015863</v>
      </c>
      <c r="Y34" s="145">
        <f t="shared" si="13"/>
        <v>17.25</v>
      </c>
      <c r="Z34" s="14">
        <f t="shared" si="14"/>
        <v>3041744</v>
      </c>
      <c r="AA34" s="14">
        <f t="shared" si="15"/>
        <v>4077729</v>
      </c>
      <c r="AB34" s="146">
        <f t="shared" si="2"/>
        <v>11.34</v>
      </c>
      <c r="AC34" s="147">
        <f t="shared" si="3"/>
        <v>28.71</v>
      </c>
      <c r="AD34" s="127">
        <f t="shared" si="4"/>
        <v>40.049999999999997</v>
      </c>
      <c r="AE34" s="77">
        <f t="shared" si="16"/>
        <v>7119473</v>
      </c>
      <c r="AF34" s="155">
        <v>2.5000000000000001E-2</v>
      </c>
      <c r="AG34" s="282">
        <v>9126451</v>
      </c>
      <c r="AH34" s="282">
        <v>1325624</v>
      </c>
      <c r="AI34" s="482">
        <f t="shared" si="17"/>
        <v>10452075</v>
      </c>
      <c r="AJ34" s="77">
        <v>398446080</v>
      </c>
      <c r="AK34" s="77">
        <f t="shared" si="20"/>
        <v>418083000</v>
      </c>
      <c r="AL34" s="583">
        <f t="shared" si="18"/>
        <v>4.9283757541296429E-2</v>
      </c>
      <c r="AM34" s="586">
        <f t="shared" si="19"/>
        <v>418083000</v>
      </c>
      <c r="AN34" s="129">
        <f t="shared" si="6"/>
        <v>2.1829280310368994E-2</v>
      </c>
      <c r="AO34" s="129">
        <f t="shared" si="7"/>
        <v>3.1707196896310062E-3</v>
      </c>
      <c r="AP34" s="77">
        <v>317110.5</v>
      </c>
      <c r="AQ34" s="77">
        <f t="shared" si="8"/>
        <v>17888658.5</v>
      </c>
      <c r="AR34" s="77">
        <f>ROUND(AQ34/'Table 3 Levels 1&amp;2'!C34,2)</f>
        <v>3186.44</v>
      </c>
    </row>
    <row r="35" spans="1:44">
      <c r="A35" s="12">
        <v>28</v>
      </c>
      <c r="B35" s="69" t="s">
        <v>120</v>
      </c>
      <c r="C35" s="14">
        <v>1994635544</v>
      </c>
      <c r="D35" s="14">
        <v>350895141</v>
      </c>
      <c r="E35" s="14">
        <f t="shared" si="9"/>
        <v>1643740403</v>
      </c>
      <c r="F35" s="14">
        <v>1629435454</v>
      </c>
      <c r="G35" s="576">
        <f t="shared" si="10"/>
        <v>8.7790829424287224E-3</v>
      </c>
      <c r="H35" s="577">
        <f t="shared" si="1"/>
        <v>1643740403</v>
      </c>
      <c r="I35" s="487">
        <v>4.59</v>
      </c>
      <c r="J35" s="472">
        <v>7284798</v>
      </c>
      <c r="K35" s="487">
        <v>28.97</v>
      </c>
      <c r="L35" s="472">
        <v>46048026</v>
      </c>
      <c r="M35" s="471">
        <v>0</v>
      </c>
      <c r="N35" s="471">
        <v>0</v>
      </c>
      <c r="O35" s="471">
        <v>0</v>
      </c>
      <c r="P35" s="472">
        <v>0</v>
      </c>
      <c r="Q35" s="77">
        <f t="shared" si="11"/>
        <v>53332824</v>
      </c>
      <c r="R35" s="471">
        <v>0</v>
      </c>
      <c r="S35" s="472">
        <v>0</v>
      </c>
      <c r="T35" s="471">
        <v>0</v>
      </c>
      <c r="U35" s="471">
        <v>0</v>
      </c>
      <c r="V35" s="471">
        <v>0</v>
      </c>
      <c r="W35" s="472">
        <v>0</v>
      </c>
      <c r="X35" s="14">
        <f t="shared" si="12"/>
        <v>0</v>
      </c>
      <c r="Y35" s="145">
        <f t="shared" si="13"/>
        <v>33.56</v>
      </c>
      <c r="Z35" s="14">
        <f t="shared" si="14"/>
        <v>53332824</v>
      </c>
      <c r="AA35" s="14">
        <f t="shared" si="15"/>
        <v>0</v>
      </c>
      <c r="AB35" s="146">
        <f t="shared" si="2"/>
        <v>0</v>
      </c>
      <c r="AC35" s="147">
        <f t="shared" si="3"/>
        <v>32.450000000000003</v>
      </c>
      <c r="AD35" s="127">
        <f t="shared" si="4"/>
        <v>32.450000000000003</v>
      </c>
      <c r="AE35" s="77">
        <f t="shared" si="16"/>
        <v>53332824</v>
      </c>
      <c r="AF35" s="155">
        <v>0.02</v>
      </c>
      <c r="AG35" s="282">
        <v>98896195</v>
      </c>
      <c r="AH35" s="282">
        <v>7482679</v>
      </c>
      <c r="AI35" s="482">
        <f t="shared" si="17"/>
        <v>106378874</v>
      </c>
      <c r="AJ35" s="77">
        <v>4904815000</v>
      </c>
      <c r="AK35" s="77">
        <f t="shared" si="20"/>
        <v>5318943700</v>
      </c>
      <c r="AL35" s="583">
        <f t="shared" si="18"/>
        <v>8.443309278739361E-2</v>
      </c>
      <c r="AM35" s="586">
        <f t="shared" si="19"/>
        <v>5318943700</v>
      </c>
      <c r="AN35" s="129">
        <f t="shared" si="6"/>
        <v>1.8593202067545854E-2</v>
      </c>
      <c r="AO35" s="129">
        <f t="shared" si="7"/>
        <v>1.4067979324541449E-3</v>
      </c>
      <c r="AP35" s="77">
        <v>2195963.5</v>
      </c>
      <c r="AQ35" s="77">
        <f t="shared" si="8"/>
        <v>161907661.5</v>
      </c>
      <c r="AR35" s="77">
        <f>ROUND(AQ35/'Table 3 Levels 1&amp;2'!C35,2)</f>
        <v>5394.94</v>
      </c>
    </row>
    <row r="36" spans="1:44">
      <c r="A36" s="12">
        <v>29</v>
      </c>
      <c r="B36" s="69" t="s">
        <v>121</v>
      </c>
      <c r="C36" s="14">
        <v>914751460</v>
      </c>
      <c r="D36" s="14">
        <v>165590279</v>
      </c>
      <c r="E36" s="14">
        <f t="shared" si="9"/>
        <v>749161181</v>
      </c>
      <c r="F36" s="14">
        <v>733980871</v>
      </c>
      <c r="G36" s="129">
        <f t="shared" si="10"/>
        <v>2.0682160257552543E-2</v>
      </c>
      <c r="H36" s="1234">
        <f t="shared" si="1"/>
        <v>749161181</v>
      </c>
      <c r="I36" s="487">
        <v>3.63</v>
      </c>
      <c r="J36" s="472">
        <v>2662284</v>
      </c>
      <c r="K36" s="487">
        <v>22.47</v>
      </c>
      <c r="L36" s="472">
        <v>16479756</v>
      </c>
      <c r="M36" s="471">
        <v>0</v>
      </c>
      <c r="N36" s="471">
        <v>0</v>
      </c>
      <c r="O36" s="471">
        <v>0</v>
      </c>
      <c r="P36" s="472">
        <v>0</v>
      </c>
      <c r="Q36" s="77">
        <f t="shared" si="11"/>
        <v>19142040</v>
      </c>
      <c r="R36" s="471">
        <v>17.2</v>
      </c>
      <c r="S36" s="472">
        <v>12614677</v>
      </c>
      <c r="T36" s="471">
        <v>0</v>
      </c>
      <c r="U36" s="471">
        <v>0</v>
      </c>
      <c r="V36" s="471">
        <v>0</v>
      </c>
      <c r="W36" s="472">
        <v>0</v>
      </c>
      <c r="X36" s="14">
        <f t="shared" si="12"/>
        <v>12614677</v>
      </c>
      <c r="Y36" s="145">
        <f t="shared" si="13"/>
        <v>43.3</v>
      </c>
      <c r="Z36" s="14">
        <f t="shared" si="14"/>
        <v>31756717</v>
      </c>
      <c r="AA36" s="14">
        <f t="shared" si="15"/>
        <v>0</v>
      </c>
      <c r="AB36" s="146">
        <f t="shared" si="2"/>
        <v>16.84</v>
      </c>
      <c r="AC36" s="147">
        <f t="shared" si="3"/>
        <v>25.55</v>
      </c>
      <c r="AD36" s="127">
        <f t="shared" si="4"/>
        <v>42.39</v>
      </c>
      <c r="AE36" s="77">
        <f t="shared" si="16"/>
        <v>31756717</v>
      </c>
      <c r="AF36" s="155">
        <v>0.02</v>
      </c>
      <c r="AG36" s="282">
        <v>28382070</v>
      </c>
      <c r="AH36" s="282">
        <v>0</v>
      </c>
      <c r="AI36" s="482">
        <f t="shared" si="17"/>
        <v>28382070</v>
      </c>
      <c r="AJ36" s="77">
        <v>1437947300</v>
      </c>
      <c r="AK36" s="77">
        <f t="shared" si="20"/>
        <v>1419103500</v>
      </c>
      <c r="AL36" s="583">
        <f t="shared" si="18"/>
        <v>-1.3104652722669322E-2</v>
      </c>
      <c r="AM36" s="586">
        <f t="shared" si="19"/>
        <v>1419103500</v>
      </c>
      <c r="AN36" s="129">
        <f t="shared" si="6"/>
        <v>0.02</v>
      </c>
      <c r="AO36" s="129">
        <f t="shared" si="7"/>
        <v>0</v>
      </c>
      <c r="AP36" s="77">
        <v>982660</v>
      </c>
      <c r="AQ36" s="77">
        <f t="shared" si="8"/>
        <v>61121447</v>
      </c>
      <c r="AR36" s="77">
        <f>ROUND(AQ36/'Table 3 Levels 1&amp;2'!C36,2)</f>
        <v>4468.2700000000004</v>
      </c>
    </row>
    <row r="37" spans="1:44">
      <c r="A37" s="18">
        <v>30</v>
      </c>
      <c r="B37" s="70" t="s">
        <v>122</v>
      </c>
      <c r="C37" s="20">
        <v>87212385</v>
      </c>
      <c r="D37" s="20">
        <v>20103678</v>
      </c>
      <c r="E37" s="20">
        <f t="shared" si="9"/>
        <v>67108707</v>
      </c>
      <c r="F37" s="20">
        <v>62448120</v>
      </c>
      <c r="G37" s="747">
        <f t="shared" si="10"/>
        <v>7.463134198435438E-2</v>
      </c>
      <c r="H37" s="748">
        <f t="shared" si="1"/>
        <v>67108707</v>
      </c>
      <c r="I37" s="488">
        <v>5.14</v>
      </c>
      <c r="J37" s="474">
        <v>319657</v>
      </c>
      <c r="K37" s="488">
        <v>44.96</v>
      </c>
      <c r="L37" s="474">
        <v>2796064</v>
      </c>
      <c r="M37" s="473">
        <v>0</v>
      </c>
      <c r="N37" s="473">
        <v>0</v>
      </c>
      <c r="O37" s="473">
        <v>0</v>
      </c>
      <c r="P37" s="474">
        <v>0</v>
      </c>
      <c r="Q37" s="78">
        <f t="shared" si="11"/>
        <v>3115721</v>
      </c>
      <c r="R37" s="473">
        <v>0</v>
      </c>
      <c r="S37" s="474">
        <v>0</v>
      </c>
      <c r="T37" s="473">
        <v>0</v>
      </c>
      <c r="U37" s="473">
        <v>0</v>
      </c>
      <c r="V37" s="473">
        <v>0</v>
      </c>
      <c r="W37" s="474">
        <v>0</v>
      </c>
      <c r="X37" s="20">
        <f t="shared" si="12"/>
        <v>0</v>
      </c>
      <c r="Y37" s="148">
        <f t="shared" si="13"/>
        <v>50.1</v>
      </c>
      <c r="Z37" s="20">
        <f t="shared" si="14"/>
        <v>3115721</v>
      </c>
      <c r="AA37" s="20">
        <f t="shared" si="15"/>
        <v>0</v>
      </c>
      <c r="AB37" s="149">
        <f t="shared" si="2"/>
        <v>0</v>
      </c>
      <c r="AC37" s="150">
        <f t="shared" si="3"/>
        <v>46.43</v>
      </c>
      <c r="AD37" s="128">
        <f t="shared" si="4"/>
        <v>46.43</v>
      </c>
      <c r="AE37" s="78">
        <f t="shared" si="16"/>
        <v>3115721</v>
      </c>
      <c r="AF37" s="156">
        <v>0.03</v>
      </c>
      <c r="AG37" s="283">
        <v>5409911</v>
      </c>
      <c r="AH37" s="283">
        <v>825000</v>
      </c>
      <c r="AI37" s="483">
        <f t="shared" si="17"/>
        <v>6234911</v>
      </c>
      <c r="AJ37" s="78">
        <v>191570267</v>
      </c>
      <c r="AK37" s="78">
        <f t="shared" si="20"/>
        <v>207830367</v>
      </c>
      <c r="AL37" s="584">
        <f t="shared" si="18"/>
        <v>8.4877994140917498E-2</v>
      </c>
      <c r="AM37" s="587">
        <f t="shared" si="19"/>
        <v>207830367</v>
      </c>
      <c r="AN37" s="130">
        <f t="shared" si="6"/>
        <v>2.6030416430915509E-2</v>
      </c>
      <c r="AO37" s="130">
        <f t="shared" si="7"/>
        <v>3.9695835209683289E-3</v>
      </c>
      <c r="AP37" s="78">
        <v>86133.5</v>
      </c>
      <c r="AQ37" s="78">
        <f t="shared" si="8"/>
        <v>9436765.5</v>
      </c>
      <c r="AR37" s="78">
        <f>ROUND(AQ37/'Table 3 Levels 1&amp;2'!C37,2)</f>
        <v>3811.29</v>
      </c>
    </row>
    <row r="38" spans="1:44">
      <c r="A38" s="12">
        <v>31</v>
      </c>
      <c r="B38" s="69" t="s">
        <v>123</v>
      </c>
      <c r="C38" s="14">
        <v>412009020</v>
      </c>
      <c r="D38" s="14">
        <v>57082309</v>
      </c>
      <c r="E38" s="14">
        <f t="shared" si="9"/>
        <v>354926711</v>
      </c>
      <c r="F38" s="14">
        <v>353245346</v>
      </c>
      <c r="G38" s="576">
        <f t="shared" si="10"/>
        <v>4.7597654690686286E-3</v>
      </c>
      <c r="H38" s="577">
        <f t="shared" si="1"/>
        <v>354926711</v>
      </c>
      <c r="I38" s="487">
        <v>4.2300000000000004</v>
      </c>
      <c r="J38" s="472">
        <v>1503842</v>
      </c>
      <c r="K38" s="487">
        <v>28.62</v>
      </c>
      <c r="L38" s="472">
        <v>10176658</v>
      </c>
      <c r="M38" s="471">
        <v>4.9400000000000004</v>
      </c>
      <c r="N38" s="471">
        <v>11.85</v>
      </c>
      <c r="O38" s="471">
        <v>4</v>
      </c>
      <c r="P38" s="472">
        <v>989258</v>
      </c>
      <c r="Q38" s="77">
        <f t="shared" si="11"/>
        <v>12669758</v>
      </c>
      <c r="R38" s="471">
        <v>0</v>
      </c>
      <c r="S38" s="472">
        <v>0</v>
      </c>
      <c r="T38" s="471">
        <v>16.95</v>
      </c>
      <c r="U38" s="471">
        <v>40</v>
      </c>
      <c r="V38" s="471">
        <v>4</v>
      </c>
      <c r="W38" s="472">
        <v>3626315</v>
      </c>
      <c r="X38" s="14">
        <f t="shared" si="12"/>
        <v>3626315</v>
      </c>
      <c r="Y38" s="145">
        <f t="shared" si="13"/>
        <v>32.85</v>
      </c>
      <c r="Z38" s="14">
        <f t="shared" si="14"/>
        <v>11680500</v>
      </c>
      <c r="AA38" s="14">
        <f t="shared" si="15"/>
        <v>4615573</v>
      </c>
      <c r="AB38" s="146">
        <f t="shared" si="2"/>
        <v>10.220000000000001</v>
      </c>
      <c r="AC38" s="147">
        <f t="shared" si="3"/>
        <v>35.700000000000003</v>
      </c>
      <c r="AD38" s="127">
        <f t="shared" si="4"/>
        <v>45.91</v>
      </c>
      <c r="AE38" s="77">
        <f t="shared" si="16"/>
        <v>16296073</v>
      </c>
      <c r="AF38" s="155">
        <v>0.02</v>
      </c>
      <c r="AG38" s="282">
        <v>14341049</v>
      </c>
      <c r="AH38" s="282">
        <v>0</v>
      </c>
      <c r="AI38" s="482">
        <f t="shared" si="17"/>
        <v>14341049</v>
      </c>
      <c r="AJ38" s="77">
        <v>725188000</v>
      </c>
      <c r="AK38" s="77">
        <f t="shared" si="20"/>
        <v>717052450</v>
      </c>
      <c r="AL38" s="583">
        <f t="shared" si="18"/>
        <v>-1.1218539192595574E-2</v>
      </c>
      <c r="AM38" s="586">
        <f t="shared" si="19"/>
        <v>717052450</v>
      </c>
      <c r="AN38" s="129">
        <f t="shared" si="6"/>
        <v>0.02</v>
      </c>
      <c r="AO38" s="129">
        <f t="shared" si="7"/>
        <v>0</v>
      </c>
      <c r="AP38" s="77">
        <v>306872</v>
      </c>
      <c r="AQ38" s="77">
        <f t="shared" si="8"/>
        <v>30943994</v>
      </c>
      <c r="AR38" s="77">
        <f>ROUND(AQ38/'Table 3 Levels 1&amp;2'!C38,2)</f>
        <v>4831.22</v>
      </c>
    </row>
    <row r="39" spans="1:44">
      <c r="A39" s="12">
        <v>32</v>
      </c>
      <c r="B39" s="69" t="s">
        <v>124</v>
      </c>
      <c r="C39" s="14">
        <v>647856900</v>
      </c>
      <c r="D39" s="14">
        <v>225468750</v>
      </c>
      <c r="E39" s="14">
        <f t="shared" si="9"/>
        <v>422388150</v>
      </c>
      <c r="F39" s="14">
        <v>408916490</v>
      </c>
      <c r="G39" s="576">
        <f t="shared" si="10"/>
        <v>3.2944770703671057E-2</v>
      </c>
      <c r="H39" s="577">
        <f t="shared" si="1"/>
        <v>422388150</v>
      </c>
      <c r="I39" s="487">
        <v>3.29</v>
      </c>
      <c r="J39" s="472">
        <v>1355053</v>
      </c>
      <c r="K39" s="487">
        <v>19.18</v>
      </c>
      <c r="L39" s="472">
        <v>7899583</v>
      </c>
      <c r="M39" s="471">
        <v>0</v>
      </c>
      <c r="N39" s="471">
        <v>0</v>
      </c>
      <c r="O39" s="471">
        <v>0</v>
      </c>
      <c r="P39" s="472">
        <v>0</v>
      </c>
      <c r="Q39" s="77">
        <f t="shared" si="11"/>
        <v>9254636</v>
      </c>
      <c r="R39" s="471">
        <v>0</v>
      </c>
      <c r="S39" s="472">
        <v>0</v>
      </c>
      <c r="T39" s="471">
        <v>8.7899999999999991</v>
      </c>
      <c r="U39" s="471">
        <v>46.87</v>
      </c>
      <c r="V39" s="471">
        <v>10</v>
      </c>
      <c r="W39" s="472">
        <v>5631056</v>
      </c>
      <c r="X39" s="14">
        <f t="shared" si="12"/>
        <v>5631056</v>
      </c>
      <c r="Y39" s="145">
        <f t="shared" si="13"/>
        <v>22.47</v>
      </c>
      <c r="Z39" s="14">
        <f t="shared" si="14"/>
        <v>9254636</v>
      </c>
      <c r="AA39" s="14">
        <f t="shared" si="15"/>
        <v>5631056</v>
      </c>
      <c r="AB39" s="146">
        <f t="shared" si="2"/>
        <v>13.33</v>
      </c>
      <c r="AC39" s="147">
        <f t="shared" si="3"/>
        <v>21.91</v>
      </c>
      <c r="AD39" s="127">
        <f t="shared" si="4"/>
        <v>35.24</v>
      </c>
      <c r="AE39" s="77">
        <f t="shared" si="16"/>
        <v>14885692</v>
      </c>
      <c r="AF39" s="155">
        <v>2.5000000000000001E-2</v>
      </c>
      <c r="AG39" s="282">
        <v>33545396</v>
      </c>
      <c r="AH39" s="282">
        <v>1155206</v>
      </c>
      <c r="AI39" s="485">
        <f>AG39+AH39</f>
        <v>34700602</v>
      </c>
      <c r="AJ39" s="77">
        <v>1265542400</v>
      </c>
      <c r="AK39" s="77">
        <f t="shared" si="20"/>
        <v>1388024080</v>
      </c>
      <c r="AL39" s="583">
        <f t="shared" si="18"/>
        <v>9.6781964792329367E-2</v>
      </c>
      <c r="AM39" s="586">
        <f t="shared" si="19"/>
        <v>1388024080</v>
      </c>
      <c r="AN39" s="129">
        <f t="shared" si="6"/>
        <v>2.4167733458918091E-2</v>
      </c>
      <c r="AO39" s="129">
        <f t="shared" si="7"/>
        <v>8.3226654108190976E-4</v>
      </c>
      <c r="AP39" s="77">
        <v>938971.5</v>
      </c>
      <c r="AQ39" s="77">
        <f t="shared" si="8"/>
        <v>50525265.5</v>
      </c>
      <c r="AR39" s="77">
        <f>ROUND(AQ39/'Table 3 Levels 1&amp;2'!C39,2)</f>
        <v>2036.08</v>
      </c>
    </row>
    <row r="40" spans="1:44">
      <c r="A40" s="12">
        <v>33</v>
      </c>
      <c r="B40" s="69" t="s">
        <v>125</v>
      </c>
      <c r="C40" s="14">
        <v>116032191</v>
      </c>
      <c r="D40" s="14">
        <v>10202648</v>
      </c>
      <c r="E40" s="14">
        <f t="shared" si="9"/>
        <v>105829543</v>
      </c>
      <c r="F40" s="14">
        <v>103343170</v>
      </c>
      <c r="G40" s="129">
        <f t="shared" si="10"/>
        <v>2.4059383895423374E-2</v>
      </c>
      <c r="H40" s="1234">
        <f t="shared" ref="H40:H76" si="21">IF((E40-F40)/F40&gt;$H$5,F40*(1+$H$5),E40)</f>
        <v>105829543</v>
      </c>
      <c r="I40" s="487">
        <v>4.76</v>
      </c>
      <c r="J40" s="472">
        <v>486166</v>
      </c>
      <c r="K40" s="487">
        <v>5.27</v>
      </c>
      <c r="L40" s="472">
        <v>538249</v>
      </c>
      <c r="M40" s="471">
        <v>0</v>
      </c>
      <c r="N40" s="471">
        <v>0</v>
      </c>
      <c r="O40" s="471">
        <v>0</v>
      </c>
      <c r="P40" s="472">
        <v>0</v>
      </c>
      <c r="Q40" s="77">
        <f t="shared" si="11"/>
        <v>1024415</v>
      </c>
      <c r="R40" s="471">
        <v>13.65</v>
      </c>
      <c r="S40" s="472">
        <v>1394053</v>
      </c>
      <c r="T40" s="471">
        <v>0</v>
      </c>
      <c r="U40" s="471">
        <v>0</v>
      </c>
      <c r="V40" s="471">
        <v>0</v>
      </c>
      <c r="W40" s="472">
        <v>0</v>
      </c>
      <c r="X40" s="14">
        <f t="shared" si="12"/>
        <v>1394053</v>
      </c>
      <c r="Y40" s="145">
        <f t="shared" si="13"/>
        <v>23.68</v>
      </c>
      <c r="Z40" s="14">
        <f t="shared" si="14"/>
        <v>2418468</v>
      </c>
      <c r="AA40" s="14">
        <f t="shared" si="15"/>
        <v>0</v>
      </c>
      <c r="AB40" s="146">
        <f t="shared" ref="AB40:AB71" si="22">ROUND((X40/E40)*1000,2)</f>
        <v>13.17</v>
      </c>
      <c r="AC40" s="147">
        <f t="shared" ref="AC40:AC71" si="23">ROUND((Q40/E40)*1000,2)</f>
        <v>9.68</v>
      </c>
      <c r="AD40" s="127">
        <f t="shared" ref="AD40:AD71" si="24">ROUND((AE40/E40)*1000,2)</f>
        <v>22.85</v>
      </c>
      <c r="AE40" s="77">
        <f t="shared" si="16"/>
        <v>2418468</v>
      </c>
      <c r="AF40" s="155">
        <v>2.5000000000000001E-2</v>
      </c>
      <c r="AG40" s="282">
        <v>1682849</v>
      </c>
      <c r="AH40" s="282">
        <v>1121863</v>
      </c>
      <c r="AI40" s="482">
        <f t="shared" si="17"/>
        <v>2804712</v>
      </c>
      <c r="AJ40" s="77">
        <v>124717280</v>
      </c>
      <c r="AK40" s="77">
        <f t="shared" si="20"/>
        <v>112188480</v>
      </c>
      <c r="AL40" s="583">
        <f t="shared" si="18"/>
        <v>-0.10045761100626954</v>
      </c>
      <c r="AM40" s="586">
        <f t="shared" si="19"/>
        <v>112188480</v>
      </c>
      <c r="AN40" s="129">
        <f t="shared" ref="AN40:AN76" si="25">AG40/AK40</f>
        <v>1.5000194315851324E-2</v>
      </c>
      <c r="AO40" s="129">
        <f t="shared" ref="AO40:AO76" si="26">AH40/AK40</f>
        <v>9.9998056841486757E-3</v>
      </c>
      <c r="AP40" s="77">
        <v>97126</v>
      </c>
      <c r="AQ40" s="77">
        <f t="shared" ref="AQ40:AQ71" si="27">AP40+AE40+AI40</f>
        <v>5320306</v>
      </c>
      <c r="AR40" s="77">
        <f>ROUND(AQ40/'Table 3 Levels 1&amp;2'!C40,2)</f>
        <v>2968.92</v>
      </c>
    </row>
    <row r="41" spans="1:44">
      <c r="A41" s="12">
        <v>34</v>
      </c>
      <c r="B41" s="69" t="s">
        <v>126</v>
      </c>
      <c r="C41" s="14">
        <v>188798960</v>
      </c>
      <c r="D41" s="14">
        <v>36509244</v>
      </c>
      <c r="E41" s="14">
        <f t="shared" si="9"/>
        <v>152289716</v>
      </c>
      <c r="F41" s="14">
        <v>151746769</v>
      </c>
      <c r="G41" s="576">
        <f t="shared" si="10"/>
        <v>3.5779806290307243E-3</v>
      </c>
      <c r="H41" s="577">
        <f t="shared" si="21"/>
        <v>152289716</v>
      </c>
      <c r="I41" s="487">
        <v>5.22</v>
      </c>
      <c r="J41" s="472">
        <v>787195</v>
      </c>
      <c r="K41" s="487">
        <v>22.46</v>
      </c>
      <c r="L41" s="472">
        <v>3387030</v>
      </c>
      <c r="M41" s="471">
        <v>5</v>
      </c>
      <c r="N41" s="471">
        <v>9.9499999999999993</v>
      </c>
      <c r="O41" s="471">
        <v>2</v>
      </c>
      <c r="P41" s="472">
        <v>468550</v>
      </c>
      <c r="Q41" s="77">
        <f t="shared" si="11"/>
        <v>4642775</v>
      </c>
      <c r="R41" s="471">
        <v>10</v>
      </c>
      <c r="S41" s="472">
        <v>1507778</v>
      </c>
      <c r="T41" s="471">
        <v>0</v>
      </c>
      <c r="U41" s="471">
        <v>0</v>
      </c>
      <c r="V41" s="471">
        <v>0</v>
      </c>
      <c r="W41" s="472">
        <v>0</v>
      </c>
      <c r="X41" s="14">
        <f t="shared" si="12"/>
        <v>1507778</v>
      </c>
      <c r="Y41" s="145">
        <f t="shared" si="13"/>
        <v>37.68</v>
      </c>
      <c r="Z41" s="14">
        <f t="shared" si="14"/>
        <v>5682003</v>
      </c>
      <c r="AA41" s="14">
        <f t="shared" si="15"/>
        <v>468550</v>
      </c>
      <c r="AB41" s="146">
        <f t="shared" si="22"/>
        <v>9.9</v>
      </c>
      <c r="AC41" s="147">
        <f t="shared" si="23"/>
        <v>30.49</v>
      </c>
      <c r="AD41" s="127">
        <f t="shared" si="24"/>
        <v>40.39</v>
      </c>
      <c r="AE41" s="77">
        <f t="shared" si="16"/>
        <v>6150553</v>
      </c>
      <c r="AF41" s="155">
        <v>0.02</v>
      </c>
      <c r="AG41" s="282">
        <v>5912154</v>
      </c>
      <c r="AH41" s="282">
        <v>0</v>
      </c>
      <c r="AI41" s="482">
        <f t="shared" si="17"/>
        <v>5912154</v>
      </c>
      <c r="AJ41" s="77">
        <v>289578450</v>
      </c>
      <c r="AK41" s="77">
        <f t="shared" si="20"/>
        <v>295607700</v>
      </c>
      <c r="AL41" s="583">
        <f t="shared" si="18"/>
        <v>2.0820782761976936E-2</v>
      </c>
      <c r="AM41" s="586">
        <f t="shared" si="19"/>
        <v>295607700</v>
      </c>
      <c r="AN41" s="129">
        <f t="shared" si="25"/>
        <v>0.02</v>
      </c>
      <c r="AO41" s="129">
        <f t="shared" si="26"/>
        <v>0</v>
      </c>
      <c r="AP41" s="77">
        <v>246493.5</v>
      </c>
      <c r="AQ41" s="77">
        <f t="shared" si="27"/>
        <v>12309200.5</v>
      </c>
      <c r="AR41" s="77">
        <f>ROUND(AQ41/'Table 3 Levels 1&amp;2'!C41,2)</f>
        <v>2881.37</v>
      </c>
    </row>
    <row r="42" spans="1:44">
      <c r="A42" s="18">
        <v>35</v>
      </c>
      <c r="B42" s="70" t="s">
        <v>127</v>
      </c>
      <c r="C42" s="20">
        <v>292734730</v>
      </c>
      <c r="D42" s="20">
        <v>50880086</v>
      </c>
      <c r="E42" s="20">
        <f t="shared" si="9"/>
        <v>241854644</v>
      </c>
      <c r="F42" s="20">
        <v>224573114</v>
      </c>
      <c r="G42" s="747">
        <f t="shared" si="10"/>
        <v>7.6952800324975673E-2</v>
      </c>
      <c r="H42" s="748">
        <f t="shared" si="21"/>
        <v>241854644</v>
      </c>
      <c r="I42" s="488">
        <v>4.6500000000000004</v>
      </c>
      <c r="J42" s="474">
        <v>1066853</v>
      </c>
      <c r="K42" s="488">
        <v>7</v>
      </c>
      <c r="L42" s="474">
        <v>1606015</v>
      </c>
      <c r="M42" s="473">
        <v>7</v>
      </c>
      <c r="N42" s="473">
        <v>20</v>
      </c>
      <c r="O42" s="473">
        <v>5</v>
      </c>
      <c r="P42" s="474">
        <v>1751002</v>
      </c>
      <c r="Q42" s="78">
        <f t="shared" si="11"/>
        <v>4423870</v>
      </c>
      <c r="R42" s="473">
        <v>0</v>
      </c>
      <c r="S42" s="474">
        <v>0</v>
      </c>
      <c r="T42" s="473">
        <v>10</v>
      </c>
      <c r="U42" s="473">
        <v>14</v>
      </c>
      <c r="V42" s="473">
        <v>3</v>
      </c>
      <c r="W42" s="474">
        <v>2576445</v>
      </c>
      <c r="X42" s="20">
        <f t="shared" si="12"/>
        <v>2576445</v>
      </c>
      <c r="Y42" s="148">
        <f t="shared" si="13"/>
        <v>11.65</v>
      </c>
      <c r="Z42" s="20">
        <f t="shared" si="14"/>
        <v>2672868</v>
      </c>
      <c r="AA42" s="20">
        <f t="shared" si="15"/>
        <v>4327447</v>
      </c>
      <c r="AB42" s="149">
        <f t="shared" si="22"/>
        <v>10.65</v>
      </c>
      <c r="AC42" s="150">
        <f t="shared" si="23"/>
        <v>18.29</v>
      </c>
      <c r="AD42" s="128">
        <f t="shared" si="24"/>
        <v>28.94</v>
      </c>
      <c r="AE42" s="78">
        <f t="shared" si="16"/>
        <v>7000315</v>
      </c>
      <c r="AF42" s="156">
        <v>0.02</v>
      </c>
      <c r="AG42" s="283">
        <v>15482135</v>
      </c>
      <c r="AH42" s="283">
        <v>0</v>
      </c>
      <c r="AI42" s="483">
        <f t="shared" si="17"/>
        <v>15482135</v>
      </c>
      <c r="AJ42" s="78">
        <v>665957400</v>
      </c>
      <c r="AK42" s="78">
        <f t="shared" si="20"/>
        <v>774106750</v>
      </c>
      <c r="AL42" s="745">
        <f t="shared" si="18"/>
        <v>0.16239679895440759</v>
      </c>
      <c r="AM42" s="746">
        <f t="shared" si="19"/>
        <v>765851010</v>
      </c>
      <c r="AN42" s="130">
        <f t="shared" si="25"/>
        <v>0.02</v>
      </c>
      <c r="AO42" s="130">
        <f t="shared" si="26"/>
        <v>0</v>
      </c>
      <c r="AP42" s="78">
        <v>1089831</v>
      </c>
      <c r="AQ42" s="78">
        <f t="shared" si="27"/>
        <v>23572281</v>
      </c>
      <c r="AR42" s="78">
        <f>ROUND(AQ42/'Table 3 Levels 1&amp;2'!C42,2)</f>
        <v>3632.09</v>
      </c>
    </row>
    <row r="43" spans="1:44">
      <c r="A43" s="12">
        <v>36</v>
      </c>
      <c r="B43" s="69" t="s">
        <v>128</v>
      </c>
      <c r="C43" s="14">
        <v>3334929042</v>
      </c>
      <c r="D43" s="14">
        <v>385256805</v>
      </c>
      <c r="E43" s="14">
        <f t="shared" si="9"/>
        <v>2949672237</v>
      </c>
      <c r="F43" s="14">
        <v>2766725610</v>
      </c>
      <c r="G43" s="576">
        <f t="shared" si="10"/>
        <v>6.6123878110196835E-2</v>
      </c>
      <c r="H43" s="577">
        <f t="shared" si="21"/>
        <v>2949672237</v>
      </c>
      <c r="I43" s="487">
        <v>27.65</v>
      </c>
      <c r="J43" s="472">
        <v>77046246</v>
      </c>
      <c r="K43" s="487">
        <v>11.5</v>
      </c>
      <c r="L43" s="472">
        <v>29877503</v>
      </c>
      <c r="M43" s="471">
        <v>0</v>
      </c>
      <c r="N43" s="471">
        <v>0</v>
      </c>
      <c r="O43" s="471">
        <v>0</v>
      </c>
      <c r="P43" s="472">
        <v>0</v>
      </c>
      <c r="Q43" s="77">
        <f t="shared" si="11"/>
        <v>106923749</v>
      </c>
      <c r="R43" s="471">
        <v>4.97</v>
      </c>
      <c r="S43" s="472">
        <v>13523787</v>
      </c>
      <c r="T43" s="471">
        <v>0</v>
      </c>
      <c r="U43" s="471">
        <v>0</v>
      </c>
      <c r="V43" s="471">
        <v>0</v>
      </c>
      <c r="W43" s="472">
        <v>0</v>
      </c>
      <c r="X43" s="14">
        <f t="shared" si="12"/>
        <v>13523787</v>
      </c>
      <c r="Y43" s="145">
        <f t="shared" si="13"/>
        <v>44.12</v>
      </c>
      <c r="Z43" s="14">
        <f t="shared" si="14"/>
        <v>120447536</v>
      </c>
      <c r="AA43" s="14">
        <f t="shared" si="15"/>
        <v>0</v>
      </c>
      <c r="AB43" s="146">
        <f t="shared" si="22"/>
        <v>4.58</v>
      </c>
      <c r="AC43" s="147">
        <f t="shared" si="23"/>
        <v>36.25</v>
      </c>
      <c r="AD43" s="127">
        <f t="shared" si="24"/>
        <v>40.83</v>
      </c>
      <c r="AE43" s="77">
        <f t="shared" si="16"/>
        <v>120447536</v>
      </c>
      <c r="AF43" s="155">
        <v>1.4999999999999999E-2</v>
      </c>
      <c r="AG43" s="282">
        <v>75558162</v>
      </c>
      <c r="AH43" s="282">
        <v>15262624</v>
      </c>
      <c r="AI43" s="482">
        <f t="shared" si="17"/>
        <v>90820786</v>
      </c>
      <c r="AJ43" s="77">
        <v>6340641067</v>
      </c>
      <c r="AK43" s="77">
        <f t="shared" si="20"/>
        <v>6054719067</v>
      </c>
      <c r="AL43" s="583">
        <f t="shared" si="18"/>
        <v>-4.50935476363876E-2</v>
      </c>
      <c r="AM43" s="586">
        <f t="shared" si="19"/>
        <v>6054719067</v>
      </c>
      <c r="AN43" s="129">
        <f t="shared" si="25"/>
        <v>1.2479218468089496E-2</v>
      </c>
      <c r="AO43" s="129">
        <f t="shared" si="26"/>
        <v>2.5207815310847024E-3</v>
      </c>
      <c r="AP43" s="77">
        <v>2253417</v>
      </c>
      <c r="AQ43" s="77">
        <f t="shared" si="27"/>
        <v>213521739</v>
      </c>
      <c r="AR43" s="77">
        <f>ROUND(AQ43/'Table 3 Levels 1&amp;2'!C43,2)</f>
        <v>5245.72</v>
      </c>
    </row>
    <row r="44" spans="1:44">
      <c r="A44" s="12">
        <v>37</v>
      </c>
      <c r="B44" s="69" t="s">
        <v>129</v>
      </c>
      <c r="C44" s="14">
        <v>714480356</v>
      </c>
      <c r="D44" s="14">
        <v>158255332</v>
      </c>
      <c r="E44" s="14">
        <f t="shared" si="9"/>
        <v>556225024</v>
      </c>
      <c r="F44" s="14">
        <v>536837311</v>
      </c>
      <c r="G44" s="576">
        <f t="shared" si="10"/>
        <v>3.6114689874825037E-2</v>
      </c>
      <c r="H44" s="577">
        <f t="shared" si="21"/>
        <v>556225024</v>
      </c>
      <c r="I44" s="487">
        <v>5.18</v>
      </c>
      <c r="J44" s="472">
        <v>3089029</v>
      </c>
      <c r="K44" s="487">
        <v>24.15</v>
      </c>
      <c r="L44" s="472">
        <v>13091567</v>
      </c>
      <c r="M44" s="471">
        <v>0</v>
      </c>
      <c r="N44" s="471">
        <v>0</v>
      </c>
      <c r="O44" s="471">
        <v>1</v>
      </c>
      <c r="P44" s="472">
        <v>0</v>
      </c>
      <c r="Q44" s="77">
        <f t="shared" si="11"/>
        <v>16180596</v>
      </c>
      <c r="R44" s="471">
        <v>0</v>
      </c>
      <c r="S44" s="472">
        <v>6195095</v>
      </c>
      <c r="T44" s="471">
        <v>30</v>
      </c>
      <c r="U44" s="471">
        <v>30</v>
      </c>
      <c r="V44" s="471">
        <v>1</v>
      </c>
      <c r="W44" s="472">
        <v>0</v>
      </c>
      <c r="X44" s="14">
        <f t="shared" si="12"/>
        <v>6195095</v>
      </c>
      <c r="Y44" s="145">
        <f t="shared" si="13"/>
        <v>29.33</v>
      </c>
      <c r="Z44" s="14">
        <f t="shared" si="14"/>
        <v>22375691</v>
      </c>
      <c r="AA44" s="14">
        <f t="shared" si="15"/>
        <v>0</v>
      </c>
      <c r="AB44" s="146">
        <f t="shared" si="22"/>
        <v>11.14</v>
      </c>
      <c r="AC44" s="147">
        <f t="shared" si="23"/>
        <v>29.09</v>
      </c>
      <c r="AD44" s="127">
        <f t="shared" si="24"/>
        <v>40.229999999999997</v>
      </c>
      <c r="AE44" s="77">
        <f t="shared" si="16"/>
        <v>22375691</v>
      </c>
      <c r="AF44" s="155">
        <v>0.03</v>
      </c>
      <c r="AG44" s="282">
        <v>30683327</v>
      </c>
      <c r="AH44" s="282">
        <v>8719438</v>
      </c>
      <c r="AI44" s="482">
        <f t="shared" si="17"/>
        <v>39402765</v>
      </c>
      <c r="AJ44" s="77">
        <v>1254249833</v>
      </c>
      <c r="AK44" s="77">
        <f t="shared" si="20"/>
        <v>1313425500</v>
      </c>
      <c r="AL44" s="583">
        <f t="shared" si="18"/>
        <v>4.7180127469867481E-2</v>
      </c>
      <c r="AM44" s="586">
        <f t="shared" si="19"/>
        <v>1313425500</v>
      </c>
      <c r="AN44" s="129">
        <f t="shared" si="25"/>
        <v>2.3361299898623865E-2</v>
      </c>
      <c r="AO44" s="129">
        <f t="shared" si="26"/>
        <v>6.638700101376134E-3</v>
      </c>
      <c r="AP44" s="77">
        <v>848543.5</v>
      </c>
      <c r="AQ44" s="77">
        <f t="shared" si="27"/>
        <v>62626999.5</v>
      </c>
      <c r="AR44" s="77">
        <f>ROUND(AQ44/'Table 3 Levels 1&amp;2'!C44,2)</f>
        <v>3191.67</v>
      </c>
    </row>
    <row r="45" spans="1:44">
      <c r="A45" s="12">
        <v>38</v>
      </c>
      <c r="B45" s="69" t="s">
        <v>130</v>
      </c>
      <c r="C45" s="14">
        <v>970621492</v>
      </c>
      <c r="D45" s="14">
        <v>30293195</v>
      </c>
      <c r="E45" s="14">
        <f t="shared" si="9"/>
        <v>940328297</v>
      </c>
      <c r="F45" s="14">
        <v>901760599</v>
      </c>
      <c r="G45" s="576">
        <f t="shared" si="10"/>
        <v>4.2769331508572601E-2</v>
      </c>
      <c r="H45" s="577">
        <f t="shared" si="21"/>
        <v>940328297</v>
      </c>
      <c r="I45" s="487">
        <v>6.03</v>
      </c>
      <c r="J45" s="472">
        <v>5370147</v>
      </c>
      <c r="K45" s="487">
        <v>18.38</v>
      </c>
      <c r="L45" s="472">
        <v>16092173</v>
      </c>
      <c r="M45" s="471">
        <v>0</v>
      </c>
      <c r="N45" s="471">
        <v>0</v>
      </c>
      <c r="O45" s="471">
        <v>0</v>
      </c>
      <c r="P45" s="472">
        <v>0</v>
      </c>
      <c r="Q45" s="77">
        <f t="shared" si="11"/>
        <v>21462320</v>
      </c>
      <c r="R45" s="471">
        <v>0</v>
      </c>
      <c r="S45" s="472">
        <v>0</v>
      </c>
      <c r="T45" s="471">
        <v>0</v>
      </c>
      <c r="U45" s="471">
        <v>0</v>
      </c>
      <c r="V45" s="471">
        <v>0</v>
      </c>
      <c r="W45" s="472">
        <v>0</v>
      </c>
      <c r="X45" s="14">
        <f t="shared" si="12"/>
        <v>0</v>
      </c>
      <c r="Y45" s="145">
        <f t="shared" si="13"/>
        <v>24.41</v>
      </c>
      <c r="Z45" s="14">
        <f t="shared" si="14"/>
        <v>21462320</v>
      </c>
      <c r="AA45" s="14">
        <f t="shared" si="15"/>
        <v>0</v>
      </c>
      <c r="AB45" s="146">
        <f t="shared" si="22"/>
        <v>0</v>
      </c>
      <c r="AC45" s="147">
        <f t="shared" si="23"/>
        <v>22.82</v>
      </c>
      <c r="AD45" s="127">
        <f t="shared" si="24"/>
        <v>22.82</v>
      </c>
      <c r="AE45" s="77">
        <f t="shared" si="16"/>
        <v>21462320</v>
      </c>
      <c r="AF45" s="155">
        <v>0.02</v>
      </c>
      <c r="AG45" s="282">
        <v>20498792</v>
      </c>
      <c r="AH45" s="282">
        <v>0</v>
      </c>
      <c r="AI45" s="482">
        <f t="shared" si="17"/>
        <v>20498792</v>
      </c>
      <c r="AJ45" s="77">
        <v>1145616450</v>
      </c>
      <c r="AK45" s="77">
        <f t="shared" si="20"/>
        <v>1024939600</v>
      </c>
      <c r="AL45" s="155">
        <f t="shared" si="18"/>
        <v>-0.10533791654266138</v>
      </c>
      <c r="AM45" s="77">
        <f t="shared" si="19"/>
        <v>1024939600</v>
      </c>
      <c r="AN45" s="129">
        <f t="shared" si="25"/>
        <v>0.02</v>
      </c>
      <c r="AO45" s="129">
        <f t="shared" si="26"/>
        <v>0</v>
      </c>
      <c r="AP45" s="77">
        <v>126930.5</v>
      </c>
      <c r="AQ45" s="77">
        <f t="shared" si="27"/>
        <v>42088042.5</v>
      </c>
      <c r="AR45" s="77">
        <f>ROUND(AQ45/'Table 3 Levels 1&amp;2'!C45,2)</f>
        <v>11046.73</v>
      </c>
    </row>
    <row r="46" spans="1:44">
      <c r="A46" s="12">
        <v>39</v>
      </c>
      <c r="B46" s="69" t="s">
        <v>131</v>
      </c>
      <c r="C46" s="14">
        <v>374483692</v>
      </c>
      <c r="D46" s="14">
        <v>38728901</v>
      </c>
      <c r="E46" s="14">
        <f t="shared" si="9"/>
        <v>335754791</v>
      </c>
      <c r="F46" s="14">
        <v>340208064</v>
      </c>
      <c r="G46" s="576">
        <f t="shared" si="10"/>
        <v>-1.30898513916472E-2</v>
      </c>
      <c r="H46" s="577">
        <f t="shared" si="21"/>
        <v>335754791</v>
      </c>
      <c r="I46" s="487">
        <v>4.54</v>
      </c>
      <c r="J46" s="472">
        <v>1517547</v>
      </c>
      <c r="K46" s="487">
        <v>11.96</v>
      </c>
      <c r="L46" s="472">
        <v>3997758</v>
      </c>
      <c r="M46" s="471">
        <v>0</v>
      </c>
      <c r="N46" s="471">
        <v>0</v>
      </c>
      <c r="O46" s="471">
        <v>0</v>
      </c>
      <c r="P46" s="472">
        <v>0</v>
      </c>
      <c r="Q46" s="77">
        <f t="shared" si="11"/>
        <v>5515305</v>
      </c>
      <c r="R46" s="471">
        <v>0</v>
      </c>
      <c r="S46" s="472">
        <v>0</v>
      </c>
      <c r="T46" s="471">
        <v>0</v>
      </c>
      <c r="U46" s="471">
        <v>10</v>
      </c>
      <c r="V46" s="471">
        <v>1</v>
      </c>
      <c r="W46" s="472">
        <v>378190</v>
      </c>
      <c r="X46" s="14">
        <f t="shared" si="12"/>
        <v>378190</v>
      </c>
      <c r="Y46" s="145">
        <f t="shared" si="13"/>
        <v>16.5</v>
      </c>
      <c r="Z46" s="14">
        <f t="shared" si="14"/>
        <v>5515305</v>
      </c>
      <c r="AA46" s="14">
        <f t="shared" si="15"/>
        <v>378190</v>
      </c>
      <c r="AB46" s="146">
        <f t="shared" si="22"/>
        <v>1.1299999999999999</v>
      </c>
      <c r="AC46" s="147">
        <f t="shared" si="23"/>
        <v>16.43</v>
      </c>
      <c r="AD46" s="127">
        <f t="shared" si="24"/>
        <v>17.55</v>
      </c>
      <c r="AE46" s="77">
        <f t="shared" si="16"/>
        <v>5893495</v>
      </c>
      <c r="AF46" s="155">
        <v>0.02</v>
      </c>
      <c r="AG46" s="282">
        <v>6689700</v>
      </c>
      <c r="AH46" s="282">
        <v>0</v>
      </c>
      <c r="AI46" s="482">
        <f t="shared" si="17"/>
        <v>6689700</v>
      </c>
      <c r="AJ46" s="77">
        <v>288483000</v>
      </c>
      <c r="AK46" s="77">
        <f t="shared" si="20"/>
        <v>334485000</v>
      </c>
      <c r="AL46" s="585">
        <f t="shared" si="18"/>
        <v>0.15946173604683811</v>
      </c>
      <c r="AM46" s="588">
        <f t="shared" si="19"/>
        <v>331755450</v>
      </c>
      <c r="AN46" s="129">
        <f t="shared" si="25"/>
        <v>0.02</v>
      </c>
      <c r="AO46" s="129">
        <f t="shared" si="26"/>
        <v>0</v>
      </c>
      <c r="AP46" s="77">
        <v>156094</v>
      </c>
      <c r="AQ46" s="77">
        <f t="shared" si="27"/>
        <v>12739289</v>
      </c>
      <c r="AR46" s="77">
        <f>ROUND(AQ46/'Table 3 Levels 1&amp;2'!C46,2)</f>
        <v>4487.25</v>
      </c>
    </row>
    <row r="47" spans="1:44">
      <c r="A47" s="18">
        <v>40</v>
      </c>
      <c r="B47" s="70" t="s">
        <v>132</v>
      </c>
      <c r="C47" s="20">
        <v>825408687</v>
      </c>
      <c r="D47" s="20">
        <v>175594887</v>
      </c>
      <c r="E47" s="20">
        <f t="shared" si="9"/>
        <v>649813800</v>
      </c>
      <c r="F47" s="20">
        <v>625394815</v>
      </c>
      <c r="G47" s="747">
        <f t="shared" si="10"/>
        <v>3.904571066838794E-2</v>
      </c>
      <c r="H47" s="748">
        <f t="shared" si="21"/>
        <v>649813800</v>
      </c>
      <c r="I47" s="488">
        <v>4.79</v>
      </c>
      <c r="J47" s="474">
        <v>3081398</v>
      </c>
      <c r="K47" s="488">
        <v>21.03</v>
      </c>
      <c r="L47" s="474">
        <v>13574800</v>
      </c>
      <c r="M47" s="473">
        <v>9.56</v>
      </c>
      <c r="N47" s="473">
        <v>48.3</v>
      </c>
      <c r="O47" s="473">
        <v>26</v>
      </c>
      <c r="P47" s="474">
        <v>6899293</v>
      </c>
      <c r="Q47" s="78">
        <f t="shared" si="11"/>
        <v>23555491</v>
      </c>
      <c r="R47" s="473">
        <v>0</v>
      </c>
      <c r="S47" s="474">
        <v>0</v>
      </c>
      <c r="T47" s="473">
        <v>10.5</v>
      </c>
      <c r="U47" s="473">
        <v>52</v>
      </c>
      <c r="V47" s="473">
        <v>13</v>
      </c>
      <c r="W47" s="474">
        <v>8724924</v>
      </c>
      <c r="X47" s="20">
        <f t="shared" si="12"/>
        <v>8724924</v>
      </c>
      <c r="Y47" s="148">
        <f t="shared" si="13"/>
        <v>25.82</v>
      </c>
      <c r="Z47" s="20">
        <f t="shared" si="14"/>
        <v>16656198</v>
      </c>
      <c r="AA47" s="20">
        <f t="shared" si="15"/>
        <v>15624217</v>
      </c>
      <c r="AB47" s="149">
        <f t="shared" si="22"/>
        <v>13.43</v>
      </c>
      <c r="AC47" s="150">
        <f t="shared" si="23"/>
        <v>36.25</v>
      </c>
      <c r="AD47" s="128">
        <f t="shared" si="24"/>
        <v>49.68</v>
      </c>
      <c r="AE47" s="78">
        <f t="shared" si="16"/>
        <v>32280415</v>
      </c>
      <c r="AF47" s="156">
        <v>1.4999999999999999E-2</v>
      </c>
      <c r="AG47" s="283">
        <v>35861372</v>
      </c>
      <c r="AH47" s="283">
        <v>0</v>
      </c>
      <c r="AI47" s="483">
        <f t="shared" si="17"/>
        <v>35861372</v>
      </c>
      <c r="AJ47" s="78">
        <v>2304667800</v>
      </c>
      <c r="AK47" s="78">
        <f t="shared" si="20"/>
        <v>2390758133</v>
      </c>
      <c r="AL47" s="584">
        <f t="shared" si="18"/>
        <v>3.7354768873848108E-2</v>
      </c>
      <c r="AM47" s="587">
        <f t="shared" si="19"/>
        <v>2390758133</v>
      </c>
      <c r="AN47" s="130">
        <f t="shared" si="25"/>
        <v>1.5000000002091387E-2</v>
      </c>
      <c r="AO47" s="130">
        <f t="shared" si="26"/>
        <v>0</v>
      </c>
      <c r="AP47" s="78">
        <v>1136698</v>
      </c>
      <c r="AQ47" s="78">
        <f t="shared" si="27"/>
        <v>69278485</v>
      </c>
      <c r="AR47" s="78">
        <f>ROUND(AQ47/'Table 3 Levels 1&amp;2'!C47,2)</f>
        <v>3015.39</v>
      </c>
    </row>
    <row r="48" spans="1:44">
      <c r="A48" s="12">
        <v>41</v>
      </c>
      <c r="B48" s="69" t="s">
        <v>133</v>
      </c>
      <c r="C48" s="14">
        <v>163855040</v>
      </c>
      <c r="D48" s="14">
        <v>10407090</v>
      </c>
      <c r="E48" s="14">
        <f t="shared" si="9"/>
        <v>153447950</v>
      </c>
      <c r="F48" s="14">
        <v>114814510</v>
      </c>
      <c r="G48" s="578">
        <f t="shared" si="10"/>
        <v>0.33648569331524386</v>
      </c>
      <c r="H48" s="579">
        <f t="shared" si="21"/>
        <v>126295961.00000001</v>
      </c>
      <c r="I48" s="487">
        <v>4.41</v>
      </c>
      <c r="J48" s="472">
        <v>676705</v>
      </c>
      <c r="K48" s="487">
        <v>35.36</v>
      </c>
      <c r="L48" s="472">
        <v>5425920</v>
      </c>
      <c r="M48" s="471">
        <v>0</v>
      </c>
      <c r="N48" s="471">
        <v>0</v>
      </c>
      <c r="O48" s="471">
        <v>0</v>
      </c>
      <c r="P48" s="472">
        <v>0</v>
      </c>
      <c r="Q48" s="77">
        <f t="shared" si="11"/>
        <v>6102625</v>
      </c>
      <c r="R48" s="471">
        <v>5.5</v>
      </c>
      <c r="S48" s="472">
        <v>843972</v>
      </c>
      <c r="T48" s="471">
        <v>0</v>
      </c>
      <c r="U48" s="471">
        <v>0</v>
      </c>
      <c r="V48" s="471">
        <v>0</v>
      </c>
      <c r="W48" s="472">
        <v>0</v>
      </c>
      <c r="X48" s="14">
        <f t="shared" si="12"/>
        <v>843972</v>
      </c>
      <c r="Y48" s="145">
        <f t="shared" si="13"/>
        <v>45.269999999999996</v>
      </c>
      <c r="Z48" s="14">
        <f t="shared" si="14"/>
        <v>6946597</v>
      </c>
      <c r="AA48" s="14">
        <f t="shared" si="15"/>
        <v>0</v>
      </c>
      <c r="AB48" s="146">
        <f t="shared" si="22"/>
        <v>5.5</v>
      </c>
      <c r="AC48" s="147">
        <f t="shared" si="23"/>
        <v>39.770000000000003</v>
      </c>
      <c r="AD48" s="127">
        <f t="shared" si="24"/>
        <v>45.27</v>
      </c>
      <c r="AE48" s="77">
        <f t="shared" si="16"/>
        <v>6946597</v>
      </c>
      <c r="AF48" s="155">
        <v>0.02</v>
      </c>
      <c r="AG48" s="282">
        <v>9322096</v>
      </c>
      <c r="AH48" s="282">
        <v>0</v>
      </c>
      <c r="AI48" s="482">
        <f t="shared" si="17"/>
        <v>9322096</v>
      </c>
      <c r="AJ48" s="77">
        <v>966010200</v>
      </c>
      <c r="AK48" s="77">
        <f t="shared" si="20"/>
        <v>466104800</v>
      </c>
      <c r="AL48" s="155">
        <f t="shared" si="18"/>
        <v>-0.5174949498462853</v>
      </c>
      <c r="AM48" s="77">
        <f t="shared" si="19"/>
        <v>466104800</v>
      </c>
      <c r="AN48" s="129">
        <f t="shared" si="25"/>
        <v>0.02</v>
      </c>
      <c r="AO48" s="129">
        <f t="shared" si="26"/>
        <v>0</v>
      </c>
      <c r="AP48" s="77">
        <v>354096.5</v>
      </c>
      <c r="AQ48" s="77">
        <f t="shared" si="27"/>
        <v>16622789.5</v>
      </c>
      <c r="AR48" s="77">
        <f>ROUND(AQ48/'Table 3 Levels 1&amp;2'!C48,2)</f>
        <v>11780.86</v>
      </c>
    </row>
    <row r="49" spans="1:44">
      <c r="A49" s="12">
        <v>42</v>
      </c>
      <c r="B49" s="69" t="s">
        <v>134</v>
      </c>
      <c r="C49" s="14">
        <v>207357810</v>
      </c>
      <c r="D49" s="14">
        <v>27794944</v>
      </c>
      <c r="E49" s="14">
        <f t="shared" si="9"/>
        <v>179562866</v>
      </c>
      <c r="F49" s="14">
        <v>148814434</v>
      </c>
      <c r="G49" s="578">
        <f t="shared" si="10"/>
        <v>0.20662264522001944</v>
      </c>
      <c r="H49" s="579">
        <f t="shared" si="21"/>
        <v>163695877.40000001</v>
      </c>
      <c r="I49" s="487">
        <v>8.14</v>
      </c>
      <c r="J49" s="472">
        <v>1456455</v>
      </c>
      <c r="K49" s="487">
        <v>8</v>
      </c>
      <c r="L49" s="472">
        <v>1438559</v>
      </c>
      <c r="M49" s="471">
        <v>0</v>
      </c>
      <c r="N49" s="471">
        <v>0</v>
      </c>
      <c r="O49" s="471">
        <v>4</v>
      </c>
      <c r="P49" s="472">
        <v>0</v>
      </c>
      <c r="Q49" s="77">
        <f t="shared" si="11"/>
        <v>2895014</v>
      </c>
      <c r="R49" s="471">
        <v>0</v>
      </c>
      <c r="S49" s="472">
        <v>0</v>
      </c>
      <c r="T49" s="471">
        <v>1</v>
      </c>
      <c r="U49" s="471">
        <v>20</v>
      </c>
      <c r="V49" s="471">
        <v>4</v>
      </c>
      <c r="W49" s="472">
        <v>1303471</v>
      </c>
      <c r="X49" s="14">
        <f t="shared" si="12"/>
        <v>1303471</v>
      </c>
      <c r="Y49" s="145">
        <f t="shared" si="13"/>
        <v>16.14</v>
      </c>
      <c r="Z49" s="14">
        <f t="shared" si="14"/>
        <v>2895014</v>
      </c>
      <c r="AA49" s="14">
        <f t="shared" si="15"/>
        <v>1303471</v>
      </c>
      <c r="AB49" s="146">
        <f t="shared" si="22"/>
        <v>7.26</v>
      </c>
      <c r="AC49" s="147">
        <f t="shared" si="23"/>
        <v>16.12</v>
      </c>
      <c r="AD49" s="127">
        <f t="shared" si="24"/>
        <v>23.38</v>
      </c>
      <c r="AE49" s="77">
        <f t="shared" si="16"/>
        <v>4198485</v>
      </c>
      <c r="AF49" s="155">
        <v>0.02</v>
      </c>
      <c r="AG49" s="282">
        <v>5712221</v>
      </c>
      <c r="AH49" s="282">
        <v>0</v>
      </c>
      <c r="AI49" s="482">
        <f t="shared" si="17"/>
        <v>5712221</v>
      </c>
      <c r="AJ49" s="77">
        <v>293332250</v>
      </c>
      <c r="AK49" s="77">
        <f t="shared" si="20"/>
        <v>285611050</v>
      </c>
      <c r="AL49" s="583">
        <f t="shared" si="18"/>
        <v>-2.6322369940570804E-2</v>
      </c>
      <c r="AM49" s="586">
        <f t="shared" si="19"/>
        <v>285611050</v>
      </c>
      <c r="AN49" s="129">
        <f t="shared" si="25"/>
        <v>0.02</v>
      </c>
      <c r="AO49" s="129">
        <f t="shared" si="26"/>
        <v>0</v>
      </c>
      <c r="AP49" s="77">
        <v>220912</v>
      </c>
      <c r="AQ49" s="77">
        <f t="shared" si="27"/>
        <v>10131618</v>
      </c>
      <c r="AR49" s="77">
        <f>ROUND(AQ49/'Table 3 Levels 1&amp;2'!C49,2)</f>
        <v>2943.53</v>
      </c>
    </row>
    <row r="50" spans="1:44">
      <c r="A50" s="12">
        <v>43</v>
      </c>
      <c r="B50" s="69" t="s">
        <v>135</v>
      </c>
      <c r="C50" s="14">
        <v>162146335</v>
      </c>
      <c r="D50" s="14">
        <v>32645912</v>
      </c>
      <c r="E50" s="14">
        <f t="shared" si="9"/>
        <v>129500423</v>
      </c>
      <c r="F50" s="14">
        <v>103405221</v>
      </c>
      <c r="G50" s="578">
        <f t="shared" si="10"/>
        <v>0.25235865024648996</v>
      </c>
      <c r="H50" s="579">
        <f t="shared" si="21"/>
        <v>113745743.10000001</v>
      </c>
      <c r="I50" s="487">
        <v>4.8</v>
      </c>
      <c r="J50" s="472">
        <v>616575</v>
      </c>
      <c r="K50" s="487">
        <v>8.1</v>
      </c>
      <c r="L50" s="472">
        <v>1045112</v>
      </c>
      <c r="M50" s="471">
        <v>6.63</v>
      </c>
      <c r="N50" s="471">
        <v>11.24</v>
      </c>
      <c r="O50" s="471">
        <v>7</v>
      </c>
      <c r="P50" s="472">
        <v>1082759</v>
      </c>
      <c r="Q50" s="77">
        <f t="shared" si="11"/>
        <v>2744446</v>
      </c>
      <c r="R50" s="471">
        <v>0</v>
      </c>
      <c r="S50" s="472">
        <v>0</v>
      </c>
      <c r="T50" s="471">
        <v>3.6</v>
      </c>
      <c r="U50" s="471">
        <v>22</v>
      </c>
      <c r="V50" s="471">
        <v>7</v>
      </c>
      <c r="W50" s="472">
        <v>1276113</v>
      </c>
      <c r="X50" s="14">
        <f t="shared" si="12"/>
        <v>1276113</v>
      </c>
      <c r="Y50" s="145">
        <f t="shared" si="13"/>
        <v>12.899999999999999</v>
      </c>
      <c r="Z50" s="14">
        <f t="shared" si="14"/>
        <v>1661687</v>
      </c>
      <c r="AA50" s="14">
        <f t="shared" si="15"/>
        <v>2358872</v>
      </c>
      <c r="AB50" s="146">
        <f t="shared" si="22"/>
        <v>9.85</v>
      </c>
      <c r="AC50" s="147">
        <f t="shared" si="23"/>
        <v>21.19</v>
      </c>
      <c r="AD50" s="127">
        <f t="shared" si="24"/>
        <v>31.05</v>
      </c>
      <c r="AE50" s="77">
        <f t="shared" si="16"/>
        <v>4020559</v>
      </c>
      <c r="AF50" s="155">
        <v>2.5000000000000001E-2</v>
      </c>
      <c r="AG50" s="282">
        <v>16025360</v>
      </c>
      <c r="AH50" s="282">
        <v>896297</v>
      </c>
      <c r="AI50" s="482">
        <f t="shared" si="17"/>
        <v>16921657</v>
      </c>
      <c r="AJ50" s="77">
        <v>703169680</v>
      </c>
      <c r="AK50" s="77">
        <f t="shared" si="20"/>
        <v>676866280</v>
      </c>
      <c r="AL50" s="155">
        <f t="shared" si="18"/>
        <v>-3.7406902982506297E-2</v>
      </c>
      <c r="AM50" s="77">
        <f t="shared" si="19"/>
        <v>676866280</v>
      </c>
      <c r="AN50" s="129">
        <f t="shared" si="25"/>
        <v>2.3675813781120846E-2</v>
      </c>
      <c r="AO50" s="129">
        <f t="shared" si="26"/>
        <v>1.3241862188791559E-3</v>
      </c>
      <c r="AP50" s="77">
        <v>400406.5</v>
      </c>
      <c r="AQ50" s="77">
        <f t="shared" si="27"/>
        <v>21342622.5</v>
      </c>
      <c r="AR50" s="77">
        <f>ROUND(AQ50/'Table 3 Levels 1&amp;2'!C50,2)</f>
        <v>5305.15</v>
      </c>
    </row>
    <row r="51" spans="1:44">
      <c r="A51" s="12">
        <v>44</v>
      </c>
      <c r="B51" s="69" t="s">
        <v>136</v>
      </c>
      <c r="C51" s="14">
        <v>357678133</v>
      </c>
      <c r="D51" s="14">
        <v>57776586</v>
      </c>
      <c r="E51" s="14">
        <f t="shared" si="9"/>
        <v>299901547</v>
      </c>
      <c r="F51" s="14">
        <v>292917443</v>
      </c>
      <c r="G51" s="576">
        <f t="shared" si="10"/>
        <v>2.3843250604915323E-2</v>
      </c>
      <c r="H51" s="577">
        <f t="shared" si="21"/>
        <v>299901547</v>
      </c>
      <c r="I51" s="487">
        <v>3.75</v>
      </c>
      <c r="J51" s="472">
        <v>1098048</v>
      </c>
      <c r="K51" s="487">
        <v>31.25</v>
      </c>
      <c r="L51" s="472">
        <v>9150396</v>
      </c>
      <c r="M51" s="471">
        <v>0</v>
      </c>
      <c r="N51" s="471">
        <v>0</v>
      </c>
      <c r="O51" s="471">
        <v>0</v>
      </c>
      <c r="P51" s="472">
        <v>0</v>
      </c>
      <c r="Q51" s="77">
        <f t="shared" si="11"/>
        <v>10248444</v>
      </c>
      <c r="R51" s="471">
        <v>10</v>
      </c>
      <c r="S51" s="472">
        <v>2928164</v>
      </c>
      <c r="T51" s="471">
        <v>0</v>
      </c>
      <c r="U51" s="471">
        <v>0</v>
      </c>
      <c r="V51" s="471">
        <v>0</v>
      </c>
      <c r="W51" s="472">
        <v>0</v>
      </c>
      <c r="X51" s="14">
        <f t="shared" si="12"/>
        <v>2928164</v>
      </c>
      <c r="Y51" s="145">
        <f t="shared" si="13"/>
        <v>45</v>
      </c>
      <c r="Z51" s="14">
        <f t="shared" si="14"/>
        <v>13176608</v>
      </c>
      <c r="AA51" s="14">
        <f t="shared" si="15"/>
        <v>0</v>
      </c>
      <c r="AB51" s="146">
        <f t="shared" si="22"/>
        <v>9.76</v>
      </c>
      <c r="AC51" s="147">
        <f t="shared" si="23"/>
        <v>34.17</v>
      </c>
      <c r="AD51" s="127">
        <f t="shared" si="24"/>
        <v>43.94</v>
      </c>
      <c r="AE51" s="77">
        <f t="shared" si="16"/>
        <v>13176608</v>
      </c>
      <c r="AF51" s="155">
        <v>0.02</v>
      </c>
      <c r="AG51" s="282">
        <v>13783159</v>
      </c>
      <c r="AH51" s="282">
        <v>0</v>
      </c>
      <c r="AI51" s="482">
        <f t="shared" si="17"/>
        <v>13783159</v>
      </c>
      <c r="AJ51" s="77">
        <v>925152950</v>
      </c>
      <c r="AK51" s="77">
        <f t="shared" si="20"/>
        <v>689157950</v>
      </c>
      <c r="AL51" s="155">
        <f t="shared" si="18"/>
        <v>-0.25508755065851546</v>
      </c>
      <c r="AM51" s="77">
        <f t="shared" si="19"/>
        <v>689157950</v>
      </c>
      <c r="AN51" s="129">
        <f t="shared" si="25"/>
        <v>0.02</v>
      </c>
      <c r="AO51" s="129">
        <f t="shared" si="26"/>
        <v>0</v>
      </c>
      <c r="AP51" s="77">
        <v>9218</v>
      </c>
      <c r="AQ51" s="77">
        <f t="shared" si="27"/>
        <v>26968985</v>
      </c>
      <c r="AR51" s="77">
        <f>ROUND(AQ51/'Table 3 Levels 1&amp;2'!C51,2)</f>
        <v>4227.1099999999997</v>
      </c>
    </row>
    <row r="52" spans="1:44">
      <c r="A52" s="18">
        <v>45</v>
      </c>
      <c r="B52" s="70" t="s">
        <v>137</v>
      </c>
      <c r="C52" s="20">
        <v>1197427196</v>
      </c>
      <c r="D52" s="20">
        <v>99009811</v>
      </c>
      <c r="E52" s="20">
        <f t="shared" si="9"/>
        <v>1098417385</v>
      </c>
      <c r="F52" s="20">
        <v>1019833123</v>
      </c>
      <c r="G52" s="747">
        <f t="shared" si="10"/>
        <v>7.7056000857112783E-2</v>
      </c>
      <c r="H52" s="748">
        <f t="shared" si="21"/>
        <v>1098417385</v>
      </c>
      <c r="I52" s="488">
        <v>4.0999999999999996</v>
      </c>
      <c r="J52" s="474">
        <v>4472585</v>
      </c>
      <c r="K52" s="488">
        <v>46.41</v>
      </c>
      <c r="L52" s="474">
        <v>49361595</v>
      </c>
      <c r="M52" s="473">
        <v>0</v>
      </c>
      <c r="N52" s="473">
        <v>0</v>
      </c>
      <c r="O52" s="473">
        <v>0</v>
      </c>
      <c r="P52" s="474">
        <v>0</v>
      </c>
      <c r="Q52" s="78">
        <f t="shared" si="11"/>
        <v>53834180</v>
      </c>
      <c r="R52" s="473">
        <v>5.86</v>
      </c>
      <c r="S52" s="474">
        <v>6392492</v>
      </c>
      <c r="T52" s="473">
        <v>0</v>
      </c>
      <c r="U52" s="473">
        <v>0</v>
      </c>
      <c r="V52" s="473">
        <v>0</v>
      </c>
      <c r="W52" s="474">
        <v>0</v>
      </c>
      <c r="X52" s="20">
        <f t="shared" si="12"/>
        <v>6392492</v>
      </c>
      <c r="Y52" s="148">
        <f t="shared" si="13"/>
        <v>56.37</v>
      </c>
      <c r="Z52" s="20">
        <f t="shared" si="14"/>
        <v>60226672</v>
      </c>
      <c r="AA52" s="20">
        <f t="shared" si="15"/>
        <v>0</v>
      </c>
      <c r="AB52" s="149">
        <f t="shared" si="22"/>
        <v>5.82</v>
      </c>
      <c r="AC52" s="150">
        <f t="shared" si="23"/>
        <v>49.01</v>
      </c>
      <c r="AD52" s="128">
        <f t="shared" si="24"/>
        <v>54.83</v>
      </c>
      <c r="AE52" s="78">
        <f t="shared" si="16"/>
        <v>60226672</v>
      </c>
      <c r="AF52" s="156">
        <v>0.03</v>
      </c>
      <c r="AG52" s="283">
        <v>56561380</v>
      </c>
      <c r="AH52" s="283">
        <v>1045015</v>
      </c>
      <c r="AI52" s="483">
        <f t="shared" si="17"/>
        <v>57606395</v>
      </c>
      <c r="AJ52" s="78">
        <v>1525807967</v>
      </c>
      <c r="AK52" s="78">
        <f t="shared" ref="AK52:AK76" si="28">ROUND(AI52/AF52,0)</f>
        <v>1920213167</v>
      </c>
      <c r="AL52" s="745">
        <f t="shared" si="18"/>
        <v>0.25848940923769603</v>
      </c>
      <c r="AM52" s="746">
        <f t="shared" si="19"/>
        <v>1754679162.05</v>
      </c>
      <c r="AN52" s="130">
        <f t="shared" si="25"/>
        <v>2.9455781770503817E-2</v>
      </c>
      <c r="AO52" s="130">
        <f t="shared" si="26"/>
        <v>5.4421822428842872E-4</v>
      </c>
      <c r="AP52" s="78">
        <v>284373</v>
      </c>
      <c r="AQ52" s="78">
        <f t="shared" si="27"/>
        <v>118117440</v>
      </c>
      <c r="AR52" s="78">
        <f>ROUND(AQ52/'Table 3 Levels 1&amp;2'!C52,2)</f>
        <v>12462.27</v>
      </c>
    </row>
    <row r="53" spans="1:44" s="75" customFormat="1">
      <c r="A53" s="101">
        <v>46</v>
      </c>
      <c r="B53" s="158" t="s">
        <v>138</v>
      </c>
      <c r="C53" s="77">
        <v>59322840</v>
      </c>
      <c r="D53" s="77">
        <v>16822100</v>
      </c>
      <c r="E53" s="77">
        <f t="shared" si="9"/>
        <v>42500740</v>
      </c>
      <c r="F53" s="77">
        <v>40445540</v>
      </c>
      <c r="G53" s="576">
        <f t="shared" si="10"/>
        <v>5.0814008169998474E-2</v>
      </c>
      <c r="H53" s="577">
        <f t="shared" si="21"/>
        <v>42500740</v>
      </c>
      <c r="I53" s="489">
        <v>3.38</v>
      </c>
      <c r="J53" s="476">
        <v>143296</v>
      </c>
      <c r="K53" s="489">
        <v>14.48</v>
      </c>
      <c r="L53" s="476">
        <v>613884</v>
      </c>
      <c r="M53" s="475">
        <v>0</v>
      </c>
      <c r="N53" s="475">
        <v>0</v>
      </c>
      <c r="O53" s="475">
        <v>6</v>
      </c>
      <c r="P53" s="476">
        <v>0</v>
      </c>
      <c r="Q53" s="77">
        <f t="shared" si="11"/>
        <v>757180</v>
      </c>
      <c r="R53" s="475">
        <v>0</v>
      </c>
      <c r="S53" s="476">
        <v>0</v>
      </c>
      <c r="T53" s="475">
        <v>0</v>
      </c>
      <c r="U53" s="475">
        <v>0</v>
      </c>
      <c r="V53" s="475">
        <v>0</v>
      </c>
      <c r="W53" s="476">
        <v>0</v>
      </c>
      <c r="X53" s="77">
        <f t="shared" si="12"/>
        <v>0</v>
      </c>
      <c r="Y53" s="159">
        <f t="shared" si="13"/>
        <v>17.86</v>
      </c>
      <c r="Z53" s="77">
        <f t="shared" si="14"/>
        <v>757180</v>
      </c>
      <c r="AA53" s="77">
        <f t="shared" si="15"/>
        <v>0</v>
      </c>
      <c r="AB53" s="160">
        <f t="shared" si="22"/>
        <v>0</v>
      </c>
      <c r="AC53" s="161">
        <f t="shared" si="23"/>
        <v>17.82</v>
      </c>
      <c r="AD53" s="127">
        <f t="shared" si="24"/>
        <v>17.82</v>
      </c>
      <c r="AE53" s="77">
        <f t="shared" si="16"/>
        <v>757180</v>
      </c>
      <c r="AF53" s="155">
        <v>0.02</v>
      </c>
      <c r="AG53" s="282">
        <v>1366900</v>
      </c>
      <c r="AH53" s="282">
        <v>0</v>
      </c>
      <c r="AI53" s="482">
        <f t="shared" si="17"/>
        <v>1366900</v>
      </c>
      <c r="AJ53" s="77">
        <v>62201850</v>
      </c>
      <c r="AK53" s="77">
        <f t="shared" si="28"/>
        <v>68345000</v>
      </c>
      <c r="AL53" s="155">
        <f t="shared" si="18"/>
        <v>9.8761532012311526E-2</v>
      </c>
      <c r="AM53" s="77">
        <f t="shared" si="19"/>
        <v>68345000</v>
      </c>
      <c r="AN53" s="129">
        <f t="shared" si="25"/>
        <v>0.02</v>
      </c>
      <c r="AO53" s="129">
        <f t="shared" si="26"/>
        <v>0</v>
      </c>
      <c r="AP53" s="77">
        <v>33026</v>
      </c>
      <c r="AQ53" s="77">
        <f t="shared" si="27"/>
        <v>2157106</v>
      </c>
      <c r="AR53" s="77">
        <f>ROUND(AQ53/'Table 3 Levels 1&amp;2'!C53,2)</f>
        <v>2004.75</v>
      </c>
    </row>
    <row r="54" spans="1:44">
      <c r="A54" s="12">
        <v>47</v>
      </c>
      <c r="B54" s="69" t="s">
        <v>139</v>
      </c>
      <c r="C54" s="14">
        <v>449158779</v>
      </c>
      <c r="D54" s="14">
        <v>39386484</v>
      </c>
      <c r="E54" s="14">
        <f t="shared" si="9"/>
        <v>409772295</v>
      </c>
      <c r="F54" s="14">
        <v>379469007</v>
      </c>
      <c r="G54" s="576">
        <f t="shared" si="10"/>
        <v>7.9857083031816614E-2</v>
      </c>
      <c r="H54" s="577">
        <f t="shared" si="21"/>
        <v>409772295</v>
      </c>
      <c r="I54" s="487">
        <v>3.89</v>
      </c>
      <c r="J54" s="472">
        <v>1641831</v>
      </c>
      <c r="K54" s="487">
        <v>30.07</v>
      </c>
      <c r="L54" s="472">
        <v>12809609</v>
      </c>
      <c r="M54" s="471">
        <v>0</v>
      </c>
      <c r="N54" s="471">
        <v>0</v>
      </c>
      <c r="O54" s="471">
        <v>0</v>
      </c>
      <c r="P54" s="472">
        <v>0</v>
      </c>
      <c r="Q54" s="77">
        <f t="shared" si="11"/>
        <v>14451440</v>
      </c>
      <c r="R54" s="471">
        <v>10</v>
      </c>
      <c r="S54" s="472">
        <v>4102246</v>
      </c>
      <c r="T54" s="471">
        <v>0</v>
      </c>
      <c r="U54" s="471">
        <v>0</v>
      </c>
      <c r="V54" s="471">
        <v>0</v>
      </c>
      <c r="W54" s="472">
        <v>0</v>
      </c>
      <c r="X54" s="14">
        <f t="shared" si="12"/>
        <v>4102246</v>
      </c>
      <c r="Y54" s="145">
        <f t="shared" si="13"/>
        <v>43.96</v>
      </c>
      <c r="Z54" s="14">
        <f t="shared" si="14"/>
        <v>18553686</v>
      </c>
      <c r="AA54" s="14">
        <f t="shared" si="15"/>
        <v>0</v>
      </c>
      <c r="AB54" s="146">
        <f t="shared" si="22"/>
        <v>10.01</v>
      </c>
      <c r="AC54" s="147">
        <f t="shared" si="23"/>
        <v>35.270000000000003</v>
      </c>
      <c r="AD54" s="127">
        <f t="shared" si="24"/>
        <v>45.28</v>
      </c>
      <c r="AE54" s="77">
        <f t="shared" si="16"/>
        <v>18553686</v>
      </c>
      <c r="AF54" s="155">
        <v>2.5000000000000001E-2</v>
      </c>
      <c r="AG54" s="282">
        <v>18100976</v>
      </c>
      <c r="AH54" s="282">
        <v>0</v>
      </c>
      <c r="AI54" s="482">
        <f t="shared" si="17"/>
        <v>18100976</v>
      </c>
      <c r="AJ54" s="77">
        <v>749761480</v>
      </c>
      <c r="AK54" s="77">
        <f t="shared" si="28"/>
        <v>724039040</v>
      </c>
      <c r="AL54" s="155">
        <f t="shared" si="18"/>
        <v>-3.4307497365695556E-2</v>
      </c>
      <c r="AM54" s="77">
        <f t="shared" si="19"/>
        <v>724039040</v>
      </c>
      <c r="AN54" s="129">
        <f t="shared" si="25"/>
        <v>2.5000000000000001E-2</v>
      </c>
      <c r="AO54" s="129">
        <f t="shared" si="26"/>
        <v>0</v>
      </c>
      <c r="AP54" s="77">
        <v>89424</v>
      </c>
      <c r="AQ54" s="77">
        <f t="shared" si="27"/>
        <v>36744086</v>
      </c>
      <c r="AR54" s="77">
        <f>ROUND(AQ54/'Table 3 Levels 1&amp;2'!C54,2)</f>
        <v>10147.5</v>
      </c>
    </row>
    <row r="55" spans="1:44">
      <c r="A55" s="12">
        <v>48</v>
      </c>
      <c r="B55" s="69" t="s">
        <v>197</v>
      </c>
      <c r="C55" s="14">
        <v>455487725</v>
      </c>
      <c r="D55" s="14">
        <v>86298781</v>
      </c>
      <c r="E55" s="14">
        <f t="shared" si="9"/>
        <v>369188944</v>
      </c>
      <c r="F55" s="14">
        <v>348795451</v>
      </c>
      <c r="G55" s="576">
        <f t="shared" si="10"/>
        <v>5.8468345678051863E-2</v>
      </c>
      <c r="H55" s="577">
        <f t="shared" si="21"/>
        <v>369188944</v>
      </c>
      <c r="I55" s="487">
        <v>3.67</v>
      </c>
      <c r="J55" s="472">
        <v>1346253</v>
      </c>
      <c r="K55" s="487">
        <v>25.82</v>
      </c>
      <c r="L55" s="472">
        <v>9079336</v>
      </c>
      <c r="M55" s="471">
        <v>0</v>
      </c>
      <c r="N55" s="471">
        <v>0</v>
      </c>
      <c r="O55" s="471">
        <v>0</v>
      </c>
      <c r="P55" s="472">
        <v>0</v>
      </c>
      <c r="Q55" s="77">
        <f t="shared" si="11"/>
        <v>10425589</v>
      </c>
      <c r="R55" s="471">
        <v>10</v>
      </c>
      <c r="S55" s="472">
        <v>3538702</v>
      </c>
      <c r="T55" s="471">
        <v>0</v>
      </c>
      <c r="U55" s="471">
        <v>0</v>
      </c>
      <c r="V55" s="471">
        <v>0</v>
      </c>
      <c r="W55" s="472">
        <v>0</v>
      </c>
      <c r="X55" s="14">
        <f t="shared" si="12"/>
        <v>3538702</v>
      </c>
      <c r="Y55" s="145">
        <f t="shared" si="13"/>
        <v>39.49</v>
      </c>
      <c r="Z55" s="14">
        <f t="shared" si="14"/>
        <v>13964291</v>
      </c>
      <c r="AA55" s="14">
        <f t="shared" si="15"/>
        <v>0</v>
      </c>
      <c r="AB55" s="146">
        <f t="shared" si="22"/>
        <v>9.59</v>
      </c>
      <c r="AC55" s="147">
        <f t="shared" si="23"/>
        <v>28.24</v>
      </c>
      <c r="AD55" s="127">
        <f t="shared" si="24"/>
        <v>37.82</v>
      </c>
      <c r="AE55" s="77">
        <f t="shared" si="16"/>
        <v>13964291</v>
      </c>
      <c r="AF55" s="155">
        <v>2.2499999999999999E-2</v>
      </c>
      <c r="AG55" s="282">
        <v>19928446</v>
      </c>
      <c r="AH55" s="282">
        <v>0</v>
      </c>
      <c r="AI55" s="482">
        <f t="shared" si="17"/>
        <v>19928446</v>
      </c>
      <c r="AJ55" s="77">
        <v>824979378</v>
      </c>
      <c r="AK55" s="77">
        <f t="shared" si="28"/>
        <v>885708711</v>
      </c>
      <c r="AL55" s="583">
        <f t="shared" si="18"/>
        <v>7.3613152788408243E-2</v>
      </c>
      <c r="AM55" s="586">
        <f t="shared" si="19"/>
        <v>885708711</v>
      </c>
      <c r="AN55" s="129">
        <f t="shared" si="25"/>
        <v>2.2500000002822599E-2</v>
      </c>
      <c r="AO55" s="129">
        <f t="shared" si="26"/>
        <v>0</v>
      </c>
      <c r="AP55" s="77">
        <v>199965.5</v>
      </c>
      <c r="AQ55" s="77">
        <f t="shared" si="27"/>
        <v>34092702.5</v>
      </c>
      <c r="AR55" s="77">
        <f>ROUND(AQ55/'Table 3 Levels 1&amp;2'!C55,2)</f>
        <v>5874</v>
      </c>
    </row>
    <row r="56" spans="1:44">
      <c r="A56" s="12">
        <v>49</v>
      </c>
      <c r="B56" s="69" t="s">
        <v>140</v>
      </c>
      <c r="C56" s="14">
        <v>660740200</v>
      </c>
      <c r="D56" s="14">
        <v>124238454</v>
      </c>
      <c r="E56" s="14">
        <f t="shared" si="9"/>
        <v>536501746</v>
      </c>
      <c r="F56" s="14">
        <v>495657100</v>
      </c>
      <c r="G56" s="576">
        <f t="shared" si="10"/>
        <v>8.2405045746343594E-2</v>
      </c>
      <c r="H56" s="577">
        <f t="shared" si="21"/>
        <v>536501746</v>
      </c>
      <c r="I56" s="487">
        <v>4.37</v>
      </c>
      <c r="J56" s="472">
        <v>2299617</v>
      </c>
      <c r="K56" s="487">
        <v>15.86</v>
      </c>
      <c r="L56" s="472">
        <v>8345978</v>
      </c>
      <c r="M56" s="471">
        <v>0</v>
      </c>
      <c r="N56" s="471">
        <v>0</v>
      </c>
      <c r="O56" s="471">
        <v>0</v>
      </c>
      <c r="P56" s="472">
        <v>0</v>
      </c>
      <c r="Q56" s="77">
        <f t="shared" si="11"/>
        <v>10645595</v>
      </c>
      <c r="R56" s="471">
        <v>0</v>
      </c>
      <c r="S56" s="472">
        <v>0</v>
      </c>
      <c r="T56" s="471">
        <v>0</v>
      </c>
      <c r="U56" s="471">
        <v>0</v>
      </c>
      <c r="V56" s="471">
        <v>0</v>
      </c>
      <c r="W56" s="472"/>
      <c r="X56" s="14">
        <f t="shared" si="12"/>
        <v>0</v>
      </c>
      <c r="Y56" s="145">
        <f t="shared" si="13"/>
        <v>20.23</v>
      </c>
      <c r="Z56" s="14">
        <f t="shared" si="14"/>
        <v>10645595</v>
      </c>
      <c r="AA56" s="14">
        <f t="shared" si="15"/>
        <v>0</v>
      </c>
      <c r="AB56" s="146">
        <f t="shared" si="22"/>
        <v>0</v>
      </c>
      <c r="AC56" s="147">
        <f t="shared" si="23"/>
        <v>19.84</v>
      </c>
      <c r="AD56" s="127">
        <f t="shared" si="24"/>
        <v>19.84</v>
      </c>
      <c r="AE56" s="77">
        <f t="shared" si="16"/>
        <v>10645595</v>
      </c>
      <c r="AF56" s="155">
        <v>0.02</v>
      </c>
      <c r="AG56" s="282">
        <v>23493736</v>
      </c>
      <c r="AH56" s="282">
        <v>0</v>
      </c>
      <c r="AI56" s="482">
        <f t="shared" si="17"/>
        <v>23493736</v>
      </c>
      <c r="AJ56" s="77">
        <v>1115120200</v>
      </c>
      <c r="AK56" s="77">
        <f t="shared" si="28"/>
        <v>1174686800</v>
      </c>
      <c r="AL56" s="583">
        <f t="shared" si="18"/>
        <v>5.3417201123251108E-2</v>
      </c>
      <c r="AM56" s="586">
        <f t="shared" si="19"/>
        <v>1174686800</v>
      </c>
      <c r="AN56" s="129">
        <f t="shared" si="25"/>
        <v>0.02</v>
      </c>
      <c r="AO56" s="129">
        <f t="shared" si="26"/>
        <v>0</v>
      </c>
      <c r="AP56" s="77">
        <v>610728</v>
      </c>
      <c r="AQ56" s="77">
        <f t="shared" si="27"/>
        <v>34750059</v>
      </c>
      <c r="AR56" s="77">
        <f>ROUND(AQ56/'Table 3 Levels 1&amp;2'!C56,2)</f>
        <v>2397.5500000000002</v>
      </c>
    </row>
    <row r="57" spans="1:44">
      <c r="A57" s="18">
        <v>50</v>
      </c>
      <c r="B57" s="70" t="s">
        <v>141</v>
      </c>
      <c r="C57" s="20">
        <v>346292086</v>
      </c>
      <c r="D57" s="20">
        <v>84084889</v>
      </c>
      <c r="E57" s="20">
        <f t="shared" si="9"/>
        <v>262207197</v>
      </c>
      <c r="F57" s="20">
        <v>259648176</v>
      </c>
      <c r="G57" s="130">
        <f t="shared" si="10"/>
        <v>9.855724925254241E-3</v>
      </c>
      <c r="H57" s="1235">
        <f t="shared" si="21"/>
        <v>262207197</v>
      </c>
      <c r="I57" s="488">
        <v>2.61</v>
      </c>
      <c r="J57" s="474">
        <v>677196</v>
      </c>
      <c r="K57" s="488">
        <v>9.9700000000000006</v>
      </c>
      <c r="L57" s="474">
        <v>2586847</v>
      </c>
      <c r="M57" s="473">
        <v>0</v>
      </c>
      <c r="N57" s="473">
        <v>0</v>
      </c>
      <c r="O57" s="473">
        <v>0</v>
      </c>
      <c r="P57" s="474">
        <v>0</v>
      </c>
      <c r="Q57" s="78">
        <f t="shared" si="11"/>
        <v>3264043</v>
      </c>
      <c r="R57" s="473">
        <v>21.5</v>
      </c>
      <c r="S57" s="474">
        <v>5578476</v>
      </c>
      <c r="T57" s="473">
        <v>0</v>
      </c>
      <c r="U57" s="473">
        <v>0</v>
      </c>
      <c r="V57" s="473">
        <v>0</v>
      </c>
      <c r="W57" s="474">
        <v>0</v>
      </c>
      <c r="X57" s="20">
        <f t="shared" si="12"/>
        <v>5578476</v>
      </c>
      <c r="Y57" s="148">
        <f t="shared" si="13"/>
        <v>34.08</v>
      </c>
      <c r="Z57" s="20">
        <f t="shared" si="14"/>
        <v>8842519</v>
      </c>
      <c r="AA57" s="20">
        <f t="shared" si="15"/>
        <v>0</v>
      </c>
      <c r="AB57" s="149">
        <f t="shared" si="22"/>
        <v>21.28</v>
      </c>
      <c r="AC57" s="150">
        <f t="shared" si="23"/>
        <v>12.45</v>
      </c>
      <c r="AD57" s="128">
        <f t="shared" si="24"/>
        <v>33.72</v>
      </c>
      <c r="AE57" s="78">
        <f t="shared" si="16"/>
        <v>8842519</v>
      </c>
      <c r="AF57" s="156">
        <v>0.02</v>
      </c>
      <c r="AG57" s="283">
        <v>13320229</v>
      </c>
      <c r="AH57" s="283">
        <v>0</v>
      </c>
      <c r="AI57" s="483">
        <f t="shared" si="17"/>
        <v>13320229</v>
      </c>
      <c r="AJ57" s="78">
        <v>588283300</v>
      </c>
      <c r="AK57" s="78">
        <f t="shared" si="28"/>
        <v>666011450</v>
      </c>
      <c r="AL57" s="584">
        <f t="shared" si="18"/>
        <v>0.13212707210964514</v>
      </c>
      <c r="AM57" s="587">
        <f t="shared" si="19"/>
        <v>666011450</v>
      </c>
      <c r="AN57" s="130">
        <f t="shared" si="25"/>
        <v>0.02</v>
      </c>
      <c r="AO57" s="130">
        <f t="shared" si="26"/>
        <v>0</v>
      </c>
      <c r="AP57" s="78">
        <v>581751.5</v>
      </c>
      <c r="AQ57" s="78">
        <f t="shared" si="27"/>
        <v>22744499.5</v>
      </c>
      <c r="AR57" s="78">
        <f>ROUND(AQ57/'Table 3 Levels 1&amp;2'!C57,2)</f>
        <v>2883.8</v>
      </c>
    </row>
    <row r="58" spans="1:44">
      <c r="A58" s="12">
        <v>51</v>
      </c>
      <c r="B58" s="69" t="s">
        <v>142</v>
      </c>
      <c r="C58" s="14">
        <v>721754110</v>
      </c>
      <c r="D58" s="14">
        <v>72982661</v>
      </c>
      <c r="E58" s="14">
        <f t="shared" si="9"/>
        <v>648771449</v>
      </c>
      <c r="F58" s="14">
        <v>566288486</v>
      </c>
      <c r="G58" s="578">
        <f t="shared" si="10"/>
        <v>0.14565537714287907</v>
      </c>
      <c r="H58" s="579">
        <f t="shared" si="21"/>
        <v>622917334.60000002</v>
      </c>
      <c r="I58" s="487">
        <v>8.4</v>
      </c>
      <c r="J58" s="472">
        <v>5066955</v>
      </c>
      <c r="K58" s="487">
        <v>11.18</v>
      </c>
      <c r="L58" s="472">
        <v>6743817</v>
      </c>
      <c r="M58" s="471">
        <v>11.58</v>
      </c>
      <c r="N58" s="471">
        <v>12.25</v>
      </c>
      <c r="O58" s="471">
        <v>3</v>
      </c>
      <c r="P58" s="472">
        <v>7102032</v>
      </c>
      <c r="Q58" s="77">
        <f t="shared" si="11"/>
        <v>18912804</v>
      </c>
      <c r="R58" s="471">
        <v>0</v>
      </c>
      <c r="S58" s="472">
        <v>0</v>
      </c>
      <c r="T58" s="471">
        <v>7</v>
      </c>
      <c r="U58" s="471">
        <v>14</v>
      </c>
      <c r="V58" s="471">
        <v>2</v>
      </c>
      <c r="W58" s="472">
        <v>1973301</v>
      </c>
      <c r="X58" s="14">
        <f t="shared" si="12"/>
        <v>1973301</v>
      </c>
      <c r="Y58" s="145">
        <f t="shared" si="13"/>
        <v>19.579999999999998</v>
      </c>
      <c r="Z58" s="14">
        <f t="shared" si="14"/>
        <v>11810772</v>
      </c>
      <c r="AA58" s="14">
        <f t="shared" si="15"/>
        <v>9075333</v>
      </c>
      <c r="AB58" s="146">
        <f t="shared" si="22"/>
        <v>3.04</v>
      </c>
      <c r="AC58" s="147">
        <f t="shared" si="23"/>
        <v>29.15</v>
      </c>
      <c r="AD58" s="127">
        <f t="shared" si="24"/>
        <v>32.19</v>
      </c>
      <c r="AE58" s="77">
        <f t="shared" si="16"/>
        <v>20886105</v>
      </c>
      <c r="AF58" s="155">
        <v>1.7500000000000002E-2</v>
      </c>
      <c r="AG58" s="282">
        <v>17160175</v>
      </c>
      <c r="AH58" s="282">
        <v>0</v>
      </c>
      <c r="AI58" s="482">
        <f t="shared" si="17"/>
        <v>17160175</v>
      </c>
      <c r="AJ58" s="77">
        <v>1010581943</v>
      </c>
      <c r="AK58" s="77">
        <f t="shared" si="28"/>
        <v>980581429</v>
      </c>
      <c r="AL58" s="155">
        <f t="shared" si="18"/>
        <v>-2.9686374477403462E-2</v>
      </c>
      <c r="AM58" s="77">
        <f t="shared" si="19"/>
        <v>980581429</v>
      </c>
      <c r="AN58" s="129">
        <f t="shared" si="25"/>
        <v>1.7499999992351477E-2</v>
      </c>
      <c r="AO58" s="129">
        <f t="shared" si="26"/>
        <v>0</v>
      </c>
      <c r="AP58" s="77">
        <v>492769.5</v>
      </c>
      <c r="AQ58" s="77">
        <f t="shared" si="27"/>
        <v>38539049.5</v>
      </c>
      <c r="AR58" s="77">
        <f>ROUND(AQ58/'Table 3 Levels 1&amp;2'!C58,2)</f>
        <v>4283.54</v>
      </c>
    </row>
    <row r="59" spans="1:44">
      <c r="A59" s="12">
        <v>52</v>
      </c>
      <c r="B59" s="69" t="s">
        <v>143</v>
      </c>
      <c r="C59" s="14">
        <v>2077286488</v>
      </c>
      <c r="D59" s="14">
        <v>496593299</v>
      </c>
      <c r="E59" s="14">
        <f t="shared" si="9"/>
        <v>1580693189</v>
      </c>
      <c r="F59" s="14">
        <v>1573739407</v>
      </c>
      <c r="G59" s="576">
        <f t="shared" si="10"/>
        <v>4.4186362551954577E-3</v>
      </c>
      <c r="H59" s="577">
        <f t="shared" si="21"/>
        <v>1580693189</v>
      </c>
      <c r="I59" s="487">
        <v>3.8</v>
      </c>
      <c r="J59" s="472">
        <v>5907887</v>
      </c>
      <c r="K59" s="487">
        <v>43.75</v>
      </c>
      <c r="L59" s="472">
        <v>68014618</v>
      </c>
      <c r="M59" s="471">
        <v>43.75</v>
      </c>
      <c r="N59" s="471">
        <v>43.75</v>
      </c>
      <c r="O59" s="471">
        <v>0</v>
      </c>
      <c r="P59" s="472">
        <v>0</v>
      </c>
      <c r="Q59" s="77">
        <f t="shared" si="11"/>
        <v>73922505</v>
      </c>
      <c r="R59" s="471">
        <v>20.9</v>
      </c>
      <c r="S59" s="472">
        <v>32492415</v>
      </c>
      <c r="T59" s="471">
        <v>20.9</v>
      </c>
      <c r="U59" s="471">
        <v>20.9</v>
      </c>
      <c r="V59" s="471">
        <v>0</v>
      </c>
      <c r="W59" s="472">
        <v>0</v>
      </c>
      <c r="X59" s="14">
        <f t="shared" si="12"/>
        <v>32492415</v>
      </c>
      <c r="Y59" s="145">
        <f t="shared" si="13"/>
        <v>68.449999999999989</v>
      </c>
      <c r="Z59" s="14">
        <f t="shared" si="14"/>
        <v>106414920</v>
      </c>
      <c r="AA59" s="14">
        <f t="shared" si="15"/>
        <v>0</v>
      </c>
      <c r="AB59" s="146">
        <f t="shared" si="22"/>
        <v>20.56</v>
      </c>
      <c r="AC59" s="147">
        <f t="shared" si="23"/>
        <v>46.77</v>
      </c>
      <c r="AD59" s="127">
        <f t="shared" si="24"/>
        <v>67.319999999999993</v>
      </c>
      <c r="AE59" s="77">
        <f t="shared" si="16"/>
        <v>106414920</v>
      </c>
      <c r="AF59" s="155">
        <v>0.02</v>
      </c>
      <c r="AG59" s="282">
        <v>77922516</v>
      </c>
      <c r="AH59" s="282">
        <v>0</v>
      </c>
      <c r="AI59" s="482">
        <f t="shared" si="17"/>
        <v>77922516</v>
      </c>
      <c r="AJ59" s="77">
        <v>3761763150</v>
      </c>
      <c r="AK59" s="77">
        <f t="shared" si="28"/>
        <v>3896125800</v>
      </c>
      <c r="AL59" s="155">
        <f t="shared" si="18"/>
        <v>3.5717998354043101E-2</v>
      </c>
      <c r="AM59" s="77">
        <f t="shared" si="19"/>
        <v>3896125800</v>
      </c>
      <c r="AN59" s="129">
        <f t="shared" si="25"/>
        <v>0.02</v>
      </c>
      <c r="AO59" s="129">
        <f t="shared" si="26"/>
        <v>0</v>
      </c>
      <c r="AP59" s="77">
        <v>1906476</v>
      </c>
      <c r="AQ59" s="77">
        <f t="shared" si="27"/>
        <v>186243912</v>
      </c>
      <c r="AR59" s="77">
        <f>ROUND(AQ59/'Table 3 Levels 1&amp;2'!C59,2)</f>
        <v>5023.03</v>
      </c>
    </row>
    <row r="60" spans="1:44">
      <c r="A60" s="12">
        <v>53</v>
      </c>
      <c r="B60" s="69" t="s">
        <v>144</v>
      </c>
      <c r="C60" s="14">
        <v>682232314</v>
      </c>
      <c r="D60" s="14">
        <v>182984728</v>
      </c>
      <c r="E60" s="14">
        <f t="shared" si="9"/>
        <v>499247586</v>
      </c>
      <c r="F60" s="14">
        <v>490813260</v>
      </c>
      <c r="G60" s="576">
        <f t="shared" si="10"/>
        <v>1.7184389028120389E-2</v>
      </c>
      <c r="H60" s="577">
        <f t="shared" si="21"/>
        <v>499247586</v>
      </c>
      <c r="I60" s="487">
        <v>4.0599999999999996</v>
      </c>
      <c r="J60" s="472">
        <v>2022466</v>
      </c>
      <c r="K60" s="487">
        <v>0</v>
      </c>
      <c r="L60" s="472">
        <v>9089</v>
      </c>
      <c r="M60" s="471">
        <v>0</v>
      </c>
      <c r="N60" s="471">
        <v>0</v>
      </c>
      <c r="O60" s="471">
        <v>0</v>
      </c>
      <c r="P60" s="472">
        <v>0</v>
      </c>
      <c r="Q60" s="77">
        <f t="shared" si="11"/>
        <v>2031555</v>
      </c>
      <c r="R60" s="471">
        <v>0</v>
      </c>
      <c r="S60" s="472">
        <v>4141</v>
      </c>
      <c r="T60" s="471">
        <v>1.75</v>
      </c>
      <c r="U60" s="471">
        <v>17</v>
      </c>
      <c r="V60" s="471">
        <v>6</v>
      </c>
      <c r="W60" s="472">
        <v>1611580</v>
      </c>
      <c r="X60" s="14">
        <f t="shared" si="12"/>
        <v>1615721</v>
      </c>
      <c r="Y60" s="145">
        <f t="shared" si="13"/>
        <v>4.0599999999999996</v>
      </c>
      <c r="Z60" s="14">
        <f t="shared" si="14"/>
        <v>2035696</v>
      </c>
      <c r="AA60" s="14">
        <f t="shared" si="15"/>
        <v>1611580</v>
      </c>
      <c r="AB60" s="146">
        <f t="shared" si="22"/>
        <v>3.24</v>
      </c>
      <c r="AC60" s="147">
        <f t="shared" si="23"/>
        <v>4.07</v>
      </c>
      <c r="AD60" s="127">
        <f t="shared" si="24"/>
        <v>7.31</v>
      </c>
      <c r="AE60" s="77">
        <f t="shared" si="16"/>
        <v>3647276</v>
      </c>
      <c r="AF60" s="155">
        <v>0.02</v>
      </c>
      <c r="AG60" s="282">
        <v>32329148</v>
      </c>
      <c r="AH60" s="282">
        <v>1139718</v>
      </c>
      <c r="AI60" s="482">
        <f t="shared" si="17"/>
        <v>33468866</v>
      </c>
      <c r="AJ60" s="77">
        <v>1566120700</v>
      </c>
      <c r="AK60" s="77">
        <f t="shared" si="28"/>
        <v>1673443300</v>
      </c>
      <c r="AL60" s="155">
        <f t="shared" si="18"/>
        <v>6.8527668397461314E-2</v>
      </c>
      <c r="AM60" s="77">
        <f t="shared" si="19"/>
        <v>1673443300</v>
      </c>
      <c r="AN60" s="129">
        <f t="shared" si="25"/>
        <v>1.931893838291384E-2</v>
      </c>
      <c r="AO60" s="129">
        <f t="shared" si="26"/>
        <v>6.8106161708616001E-4</v>
      </c>
      <c r="AP60" s="77">
        <v>182091</v>
      </c>
      <c r="AQ60" s="77">
        <f t="shared" si="27"/>
        <v>37298233</v>
      </c>
      <c r="AR60" s="77">
        <f>ROUND(AQ60/'Table 3 Levels 1&amp;2'!C60,2)</f>
        <v>1948.2</v>
      </c>
    </row>
    <row r="61" spans="1:44">
      <c r="A61" s="12">
        <v>54</v>
      </c>
      <c r="B61" s="69" t="s">
        <v>145</v>
      </c>
      <c r="C61" s="14">
        <v>50623216</v>
      </c>
      <c r="D61" s="14">
        <v>5994201</v>
      </c>
      <c r="E61" s="14">
        <f t="shared" si="9"/>
        <v>44629015</v>
      </c>
      <c r="F61" s="14">
        <v>40713583</v>
      </c>
      <c r="G61" s="576">
        <f t="shared" si="10"/>
        <v>9.6170165126464063E-2</v>
      </c>
      <c r="H61" s="577">
        <f t="shared" si="21"/>
        <v>44629015</v>
      </c>
      <c r="I61" s="487">
        <v>5.08</v>
      </c>
      <c r="J61" s="472">
        <v>226722</v>
      </c>
      <c r="K61" s="487">
        <v>31.82</v>
      </c>
      <c r="L61" s="472">
        <v>1350516</v>
      </c>
      <c r="M61" s="471">
        <v>0</v>
      </c>
      <c r="N61" s="471">
        <v>0</v>
      </c>
      <c r="O61" s="471">
        <v>0</v>
      </c>
      <c r="P61" s="472">
        <v>0</v>
      </c>
      <c r="Q61" s="77">
        <f t="shared" si="11"/>
        <v>1577238</v>
      </c>
      <c r="R61" s="471">
        <v>0</v>
      </c>
      <c r="S61" s="472">
        <v>0</v>
      </c>
      <c r="T61" s="471">
        <v>0</v>
      </c>
      <c r="U61" s="471">
        <v>0</v>
      </c>
      <c r="V61" s="471">
        <v>0</v>
      </c>
      <c r="W61" s="472">
        <v>0</v>
      </c>
      <c r="X61" s="14">
        <f t="shared" si="12"/>
        <v>0</v>
      </c>
      <c r="Y61" s="145">
        <f t="shared" si="13"/>
        <v>36.9</v>
      </c>
      <c r="Z61" s="14">
        <f t="shared" si="14"/>
        <v>1577238</v>
      </c>
      <c r="AA61" s="14">
        <f t="shared" si="15"/>
        <v>0</v>
      </c>
      <c r="AB61" s="146">
        <f t="shared" si="22"/>
        <v>0</v>
      </c>
      <c r="AC61" s="147">
        <f t="shared" si="23"/>
        <v>35.340000000000003</v>
      </c>
      <c r="AD61" s="127">
        <f t="shared" si="24"/>
        <v>35.340000000000003</v>
      </c>
      <c r="AE61" s="77">
        <f t="shared" si="16"/>
        <v>1577238</v>
      </c>
      <c r="AF61" s="155">
        <v>1.4999999999999999E-2</v>
      </c>
      <c r="AG61" s="282">
        <v>767244</v>
      </c>
      <c r="AH61" s="282">
        <v>0</v>
      </c>
      <c r="AI61" s="482">
        <f t="shared" si="17"/>
        <v>767244</v>
      </c>
      <c r="AJ61" s="77">
        <v>39645267</v>
      </c>
      <c r="AK61" s="77">
        <f t="shared" si="28"/>
        <v>51149600</v>
      </c>
      <c r="AL61" s="585">
        <f t="shared" si="18"/>
        <v>0.2901817510776255</v>
      </c>
      <c r="AM61" s="588">
        <f t="shared" si="19"/>
        <v>45592057.049999997</v>
      </c>
      <c r="AN61" s="129">
        <f t="shared" si="25"/>
        <v>1.4999999999999999E-2</v>
      </c>
      <c r="AO61" s="129">
        <f t="shared" si="26"/>
        <v>0</v>
      </c>
      <c r="AP61" s="77">
        <v>51592.5</v>
      </c>
      <c r="AQ61" s="77">
        <f t="shared" si="27"/>
        <v>2396074.5</v>
      </c>
      <c r="AR61" s="77">
        <f>ROUND(AQ61/'Table 3 Levels 1&amp;2'!C61,2)</f>
        <v>3513.31</v>
      </c>
    </row>
    <row r="62" spans="1:44">
      <c r="A62" s="18">
        <v>55</v>
      </c>
      <c r="B62" s="70" t="s">
        <v>146</v>
      </c>
      <c r="C62" s="20">
        <v>945712650</v>
      </c>
      <c r="D62" s="20">
        <v>175348725</v>
      </c>
      <c r="E62" s="20">
        <f t="shared" si="9"/>
        <v>770363925</v>
      </c>
      <c r="F62" s="20">
        <v>741791975</v>
      </c>
      <c r="G62" s="747">
        <f t="shared" si="10"/>
        <v>3.8517469806814773E-2</v>
      </c>
      <c r="H62" s="748">
        <f t="shared" si="21"/>
        <v>770363925</v>
      </c>
      <c r="I62" s="488">
        <v>3.86</v>
      </c>
      <c r="J62" s="474">
        <v>2908147</v>
      </c>
      <c r="K62" s="488">
        <v>5.41</v>
      </c>
      <c r="L62" s="474">
        <v>4075936</v>
      </c>
      <c r="M62" s="473">
        <v>0</v>
      </c>
      <c r="N62" s="473">
        <v>0</v>
      </c>
      <c r="O62" s="473">
        <v>0</v>
      </c>
      <c r="P62" s="474">
        <v>0</v>
      </c>
      <c r="Q62" s="78">
        <f t="shared" si="11"/>
        <v>6984083</v>
      </c>
      <c r="R62" s="473">
        <v>0</v>
      </c>
      <c r="S62" s="474">
        <v>129</v>
      </c>
      <c r="T62" s="473">
        <v>0</v>
      </c>
      <c r="U62" s="473">
        <v>0</v>
      </c>
      <c r="V62" s="473">
        <v>0</v>
      </c>
      <c r="W62" s="474">
        <v>0</v>
      </c>
      <c r="X62" s="20">
        <f t="shared" si="12"/>
        <v>129</v>
      </c>
      <c r="Y62" s="148">
        <f t="shared" si="13"/>
        <v>9.27</v>
      </c>
      <c r="Z62" s="20">
        <f t="shared" si="14"/>
        <v>6984212</v>
      </c>
      <c r="AA62" s="20">
        <f t="shared" si="15"/>
        <v>0</v>
      </c>
      <c r="AB62" s="149">
        <f t="shared" si="22"/>
        <v>0</v>
      </c>
      <c r="AC62" s="150">
        <f t="shared" si="23"/>
        <v>9.07</v>
      </c>
      <c r="AD62" s="128">
        <f t="shared" si="24"/>
        <v>9.07</v>
      </c>
      <c r="AE62" s="78">
        <f t="shared" si="16"/>
        <v>6984212</v>
      </c>
      <c r="AF62" s="156">
        <v>2.0799999999999999E-2</v>
      </c>
      <c r="AG62" s="283">
        <v>48824395</v>
      </c>
      <c r="AH62" s="283">
        <v>0</v>
      </c>
      <c r="AI62" s="483">
        <f t="shared" si="17"/>
        <v>48824395</v>
      </c>
      <c r="AJ62" s="78">
        <v>2254068317</v>
      </c>
      <c r="AK62" s="78">
        <f t="shared" si="28"/>
        <v>2347326683</v>
      </c>
      <c r="AL62" s="156">
        <f t="shared" si="18"/>
        <v>4.1373353813925241E-2</v>
      </c>
      <c r="AM62" s="78">
        <f t="shared" si="19"/>
        <v>2347326683</v>
      </c>
      <c r="AN62" s="130">
        <f t="shared" si="25"/>
        <v>2.0799999997273493E-2</v>
      </c>
      <c r="AO62" s="130">
        <f t="shared" si="26"/>
        <v>0</v>
      </c>
      <c r="AP62" s="78">
        <v>307581.5</v>
      </c>
      <c r="AQ62" s="78">
        <f t="shared" si="27"/>
        <v>56116188.5</v>
      </c>
      <c r="AR62" s="78">
        <f>ROUND(AQ62/'Table 3 Levels 1&amp;2'!C62,2)</f>
        <v>3160.41</v>
      </c>
    </row>
    <row r="63" spans="1:44">
      <c r="A63" s="12">
        <v>56</v>
      </c>
      <c r="B63" s="69" t="s">
        <v>147</v>
      </c>
      <c r="C63" s="14">
        <v>193594260</v>
      </c>
      <c r="D63" s="14">
        <v>34746574</v>
      </c>
      <c r="E63" s="14">
        <f t="shared" si="9"/>
        <v>158847686</v>
      </c>
      <c r="F63" s="14">
        <v>157721958</v>
      </c>
      <c r="G63" s="129">
        <f t="shared" si="10"/>
        <v>7.1374209036892634E-3</v>
      </c>
      <c r="H63" s="1234">
        <f t="shared" si="21"/>
        <v>158847686</v>
      </c>
      <c r="I63" s="487">
        <v>3.55</v>
      </c>
      <c r="J63" s="472">
        <v>544655</v>
      </c>
      <c r="K63" s="487">
        <v>17.98</v>
      </c>
      <c r="L63" s="472">
        <v>2756275</v>
      </c>
      <c r="M63" s="471">
        <v>1.64</v>
      </c>
      <c r="N63" s="471">
        <v>1.64</v>
      </c>
      <c r="O63" s="471">
        <v>9</v>
      </c>
      <c r="P63" s="472">
        <v>251656</v>
      </c>
      <c r="Q63" s="77">
        <f t="shared" si="11"/>
        <v>3552586</v>
      </c>
      <c r="R63" s="471">
        <v>0</v>
      </c>
      <c r="S63" s="472">
        <v>0</v>
      </c>
      <c r="T63" s="471">
        <v>0</v>
      </c>
      <c r="U63" s="471">
        <v>0</v>
      </c>
      <c r="V63" s="471">
        <v>0</v>
      </c>
      <c r="W63" s="472"/>
      <c r="X63" s="14">
        <f t="shared" si="12"/>
        <v>0</v>
      </c>
      <c r="Y63" s="145">
        <f t="shared" si="13"/>
        <v>21.53</v>
      </c>
      <c r="Z63" s="14">
        <f t="shared" si="14"/>
        <v>3300930</v>
      </c>
      <c r="AA63" s="14">
        <f t="shared" si="15"/>
        <v>251656</v>
      </c>
      <c r="AB63" s="146">
        <f t="shared" si="22"/>
        <v>0</v>
      </c>
      <c r="AC63" s="147">
        <f t="shared" si="23"/>
        <v>22.36</v>
      </c>
      <c r="AD63" s="127">
        <f t="shared" si="24"/>
        <v>22.36</v>
      </c>
      <c r="AE63" s="77">
        <f t="shared" si="16"/>
        <v>3552586</v>
      </c>
      <c r="AF63" s="155">
        <v>0.02</v>
      </c>
      <c r="AG63" s="282">
        <v>4471356</v>
      </c>
      <c r="AH63" s="282">
        <v>0</v>
      </c>
      <c r="AI63" s="482">
        <f t="shared" si="17"/>
        <v>4471356</v>
      </c>
      <c r="AJ63" s="77">
        <v>239373550</v>
      </c>
      <c r="AK63" s="77">
        <f t="shared" si="28"/>
        <v>223567800</v>
      </c>
      <c r="AL63" s="155">
        <f t="shared" si="18"/>
        <v>-6.602964279052552E-2</v>
      </c>
      <c r="AM63" s="77">
        <f t="shared" si="19"/>
        <v>223567800</v>
      </c>
      <c r="AN63" s="129">
        <f t="shared" si="25"/>
        <v>0.02</v>
      </c>
      <c r="AO63" s="129">
        <f t="shared" si="26"/>
        <v>0</v>
      </c>
      <c r="AP63" s="77">
        <v>151652</v>
      </c>
      <c r="AQ63" s="77">
        <f t="shared" si="27"/>
        <v>8175594</v>
      </c>
      <c r="AR63" s="77">
        <f>ROUND(AQ63/'Table 3 Levels 1&amp;2'!C63,2)</f>
        <v>2858.6</v>
      </c>
    </row>
    <row r="64" spans="1:44">
      <c r="A64" s="12">
        <v>57</v>
      </c>
      <c r="B64" s="69" t="s">
        <v>148</v>
      </c>
      <c r="C64" s="14">
        <v>400700850</v>
      </c>
      <c r="D64" s="14">
        <v>90178270</v>
      </c>
      <c r="E64" s="14">
        <f t="shared" si="9"/>
        <v>310522580</v>
      </c>
      <c r="F64" s="14">
        <v>309620720</v>
      </c>
      <c r="G64" s="576">
        <f t="shared" si="10"/>
        <v>2.9127895574947308E-3</v>
      </c>
      <c r="H64" s="577">
        <f t="shared" si="21"/>
        <v>310522580</v>
      </c>
      <c r="I64" s="487">
        <v>4.6500000000000004</v>
      </c>
      <c r="J64" s="472">
        <v>1425372</v>
      </c>
      <c r="K64" s="487">
        <v>35</v>
      </c>
      <c r="L64" s="472">
        <v>10718733</v>
      </c>
      <c r="M64" s="471">
        <v>0</v>
      </c>
      <c r="N64" s="471">
        <v>0</v>
      </c>
      <c r="O64" s="471">
        <v>0</v>
      </c>
      <c r="P64" s="472">
        <v>0</v>
      </c>
      <c r="Q64" s="77">
        <f t="shared" si="11"/>
        <v>12144105</v>
      </c>
      <c r="R64" s="471">
        <v>0</v>
      </c>
      <c r="S64" s="472">
        <v>0</v>
      </c>
      <c r="T64" s="471">
        <v>0</v>
      </c>
      <c r="U64" s="471">
        <v>0</v>
      </c>
      <c r="V64" s="471">
        <v>0</v>
      </c>
      <c r="W64" s="472">
        <v>0</v>
      </c>
      <c r="X64" s="14">
        <f t="shared" si="12"/>
        <v>0</v>
      </c>
      <c r="Y64" s="145">
        <f t="shared" si="13"/>
        <v>39.65</v>
      </c>
      <c r="Z64" s="14">
        <f t="shared" si="14"/>
        <v>12144105</v>
      </c>
      <c r="AA64" s="14">
        <f t="shared" si="15"/>
        <v>0</v>
      </c>
      <c r="AB64" s="146">
        <f t="shared" si="22"/>
        <v>0</v>
      </c>
      <c r="AC64" s="147">
        <f t="shared" si="23"/>
        <v>39.11</v>
      </c>
      <c r="AD64" s="127">
        <f t="shared" si="24"/>
        <v>39.11</v>
      </c>
      <c r="AE64" s="77">
        <f t="shared" si="16"/>
        <v>12144105</v>
      </c>
      <c r="AF64" s="155">
        <v>1.4999999999999999E-2</v>
      </c>
      <c r="AG64" s="282">
        <v>11290503</v>
      </c>
      <c r="AH64" s="282">
        <v>0</v>
      </c>
      <c r="AI64" s="482">
        <f t="shared" si="17"/>
        <v>11290503</v>
      </c>
      <c r="AJ64" s="77">
        <v>734873800</v>
      </c>
      <c r="AK64" s="77">
        <f t="shared" si="28"/>
        <v>752700200</v>
      </c>
      <c r="AL64" s="155">
        <f t="shared" si="18"/>
        <v>2.4257770517876674E-2</v>
      </c>
      <c r="AM64" s="77">
        <f t="shared" si="19"/>
        <v>752700200</v>
      </c>
      <c r="AN64" s="129">
        <f t="shared" si="25"/>
        <v>1.4999999999999999E-2</v>
      </c>
      <c r="AO64" s="129">
        <f t="shared" si="26"/>
        <v>0</v>
      </c>
      <c r="AP64" s="77">
        <v>2326234</v>
      </c>
      <c r="AQ64" s="77">
        <f t="shared" si="27"/>
        <v>25760842</v>
      </c>
      <c r="AR64" s="77">
        <f>ROUND(AQ64/'Table 3 Levels 1&amp;2'!C64,2)</f>
        <v>2847.45</v>
      </c>
    </row>
    <row r="65" spans="1:44">
      <c r="A65" s="12">
        <v>58</v>
      </c>
      <c r="B65" s="69" t="s">
        <v>149</v>
      </c>
      <c r="C65" s="14">
        <v>168097320</v>
      </c>
      <c r="D65" s="14">
        <v>47441907</v>
      </c>
      <c r="E65" s="14">
        <f t="shared" si="9"/>
        <v>120655413</v>
      </c>
      <c r="F65" s="14">
        <v>117095033</v>
      </c>
      <c r="G65" s="576">
        <f t="shared" si="10"/>
        <v>3.0405901162349046E-2</v>
      </c>
      <c r="H65" s="577">
        <f t="shared" si="21"/>
        <v>120655413</v>
      </c>
      <c r="I65" s="487">
        <v>4.18</v>
      </c>
      <c r="J65" s="472">
        <v>492458</v>
      </c>
      <c r="K65" s="487">
        <v>8.1199999999999992</v>
      </c>
      <c r="L65" s="472">
        <v>956641</v>
      </c>
      <c r="M65" s="471">
        <v>10</v>
      </c>
      <c r="N65" s="471">
        <v>18.77</v>
      </c>
      <c r="O65" s="471">
        <v>9</v>
      </c>
      <c r="P65" s="472">
        <v>1795516</v>
      </c>
      <c r="Q65" s="77">
        <f t="shared" si="11"/>
        <v>3244615</v>
      </c>
      <c r="R65" s="471">
        <v>0</v>
      </c>
      <c r="S65" s="472">
        <v>0</v>
      </c>
      <c r="T65" s="471">
        <v>9.93</v>
      </c>
      <c r="U65" s="471">
        <v>40.79</v>
      </c>
      <c r="V65" s="471">
        <v>9</v>
      </c>
      <c r="W65" s="472">
        <v>3805548</v>
      </c>
      <c r="X65" s="14">
        <f t="shared" si="12"/>
        <v>3805548</v>
      </c>
      <c r="Y65" s="145">
        <f t="shared" si="13"/>
        <v>12.299999999999999</v>
      </c>
      <c r="Z65" s="14">
        <f t="shared" si="14"/>
        <v>1449099</v>
      </c>
      <c r="AA65" s="14">
        <f t="shared" si="15"/>
        <v>5601064</v>
      </c>
      <c r="AB65" s="146">
        <f t="shared" si="22"/>
        <v>31.54</v>
      </c>
      <c r="AC65" s="147">
        <f t="shared" si="23"/>
        <v>26.89</v>
      </c>
      <c r="AD65" s="127">
        <f t="shared" si="24"/>
        <v>58.43</v>
      </c>
      <c r="AE65" s="77">
        <f t="shared" si="16"/>
        <v>7050163</v>
      </c>
      <c r="AF65" s="155">
        <v>0.02</v>
      </c>
      <c r="AG65" s="282">
        <v>12246187</v>
      </c>
      <c r="AH65" s="282">
        <v>0</v>
      </c>
      <c r="AI65" s="482">
        <f t="shared" si="17"/>
        <v>12246187</v>
      </c>
      <c r="AJ65" s="77">
        <v>540589950</v>
      </c>
      <c r="AK65" s="77">
        <f t="shared" si="28"/>
        <v>612309350</v>
      </c>
      <c r="AL65" s="583">
        <f t="shared" si="18"/>
        <v>0.13266876308003875</v>
      </c>
      <c r="AM65" s="586">
        <f t="shared" si="19"/>
        <v>612309350</v>
      </c>
      <c r="AN65" s="129">
        <f t="shared" si="25"/>
        <v>0.02</v>
      </c>
      <c r="AO65" s="129">
        <f t="shared" si="26"/>
        <v>0</v>
      </c>
      <c r="AP65" s="77">
        <v>420654</v>
      </c>
      <c r="AQ65" s="77">
        <f t="shared" si="27"/>
        <v>19717004</v>
      </c>
      <c r="AR65" s="77">
        <f>ROUND(AQ65/'Table 3 Levels 1&amp;2'!C65,2)</f>
        <v>2169.09</v>
      </c>
    </row>
    <row r="66" spans="1:44">
      <c r="A66" s="12">
        <v>59</v>
      </c>
      <c r="B66" s="69" t="s">
        <v>150</v>
      </c>
      <c r="C66" s="14">
        <v>124631650</v>
      </c>
      <c r="D66" s="14">
        <v>42343385</v>
      </c>
      <c r="E66" s="14">
        <f t="shared" si="9"/>
        <v>82288265</v>
      </c>
      <c r="F66" s="14">
        <v>82193101</v>
      </c>
      <c r="G66" s="576">
        <f t="shared" si="10"/>
        <v>1.1578100697283583E-3</v>
      </c>
      <c r="H66" s="577">
        <f t="shared" si="21"/>
        <v>82288265</v>
      </c>
      <c r="I66" s="487">
        <v>3.91</v>
      </c>
      <c r="J66" s="472">
        <v>333330</v>
      </c>
      <c r="K66" s="487">
        <v>15.07</v>
      </c>
      <c r="L66" s="472">
        <v>1284728</v>
      </c>
      <c r="M66" s="471">
        <v>5.19</v>
      </c>
      <c r="N66" s="471">
        <v>5.19</v>
      </c>
      <c r="O66" s="471">
        <v>1</v>
      </c>
      <c r="P66" s="472">
        <v>22511</v>
      </c>
      <c r="Q66" s="77">
        <f t="shared" si="11"/>
        <v>1640569</v>
      </c>
      <c r="R66" s="471">
        <v>0</v>
      </c>
      <c r="S66" s="472">
        <v>0</v>
      </c>
      <c r="T66" s="471">
        <v>16</v>
      </c>
      <c r="U66" s="471">
        <v>30.5</v>
      </c>
      <c r="V66" s="471">
        <v>3</v>
      </c>
      <c r="W66" s="472">
        <v>2284106</v>
      </c>
      <c r="X66" s="14">
        <f t="shared" si="12"/>
        <v>2284106</v>
      </c>
      <c r="Y66" s="145">
        <f t="shared" si="13"/>
        <v>18.98</v>
      </c>
      <c r="Z66" s="14">
        <f t="shared" si="14"/>
        <v>1618058</v>
      </c>
      <c r="AA66" s="14">
        <f t="shared" si="15"/>
        <v>2306617</v>
      </c>
      <c r="AB66" s="146">
        <f t="shared" si="22"/>
        <v>27.76</v>
      </c>
      <c r="AC66" s="147">
        <f t="shared" si="23"/>
        <v>19.940000000000001</v>
      </c>
      <c r="AD66" s="127">
        <f t="shared" si="24"/>
        <v>47.69</v>
      </c>
      <c r="AE66" s="77">
        <f t="shared" si="16"/>
        <v>3924675</v>
      </c>
      <c r="AF66" s="155">
        <v>0.02</v>
      </c>
      <c r="AG66" s="282">
        <v>4135359</v>
      </c>
      <c r="AH66" s="282">
        <v>0</v>
      </c>
      <c r="AI66" s="482">
        <f t="shared" si="17"/>
        <v>4135359</v>
      </c>
      <c r="AJ66" s="77">
        <v>197900500</v>
      </c>
      <c r="AK66" s="77">
        <f t="shared" si="28"/>
        <v>206767950</v>
      </c>
      <c r="AL66" s="583">
        <f t="shared" si="18"/>
        <v>4.4807617969636254E-2</v>
      </c>
      <c r="AM66" s="586">
        <f t="shared" si="19"/>
        <v>206767950</v>
      </c>
      <c r="AN66" s="129">
        <f t="shared" si="25"/>
        <v>0.02</v>
      </c>
      <c r="AO66" s="129">
        <f t="shared" si="26"/>
        <v>0</v>
      </c>
      <c r="AP66" s="77">
        <v>165555</v>
      </c>
      <c r="AQ66" s="77">
        <f t="shared" si="27"/>
        <v>8225589</v>
      </c>
      <c r="AR66" s="77">
        <f>ROUND(AQ66/'Table 3 Levels 1&amp;2'!C66,2)</f>
        <v>1567.67</v>
      </c>
    </row>
    <row r="67" spans="1:44">
      <c r="A67" s="18">
        <v>60</v>
      </c>
      <c r="B67" s="70" t="s">
        <v>151</v>
      </c>
      <c r="C67" s="20">
        <v>286941170</v>
      </c>
      <c r="D67" s="20">
        <v>52467769</v>
      </c>
      <c r="E67" s="20">
        <f t="shared" si="9"/>
        <v>234473401</v>
      </c>
      <c r="F67" s="20">
        <v>228007251</v>
      </c>
      <c r="G67" s="747">
        <f t="shared" si="10"/>
        <v>2.8359405113831226E-2</v>
      </c>
      <c r="H67" s="748">
        <f t="shared" si="21"/>
        <v>234473401</v>
      </c>
      <c r="I67" s="488">
        <v>4.18</v>
      </c>
      <c r="J67" s="474">
        <v>976862</v>
      </c>
      <c r="K67" s="488">
        <v>11.58</v>
      </c>
      <c r="L67" s="474">
        <v>2706236</v>
      </c>
      <c r="M67" s="473">
        <v>7.12</v>
      </c>
      <c r="N67" s="473">
        <v>25.37</v>
      </c>
      <c r="O67" s="473">
        <v>3</v>
      </c>
      <c r="P67" s="474">
        <v>1552191</v>
      </c>
      <c r="Q67" s="78">
        <f t="shared" si="11"/>
        <v>5235289</v>
      </c>
      <c r="R67" s="473">
        <v>0</v>
      </c>
      <c r="S67" s="474">
        <v>0</v>
      </c>
      <c r="T67" s="473">
        <v>17</v>
      </c>
      <c r="U67" s="473">
        <v>39</v>
      </c>
      <c r="V67" s="473">
        <v>7</v>
      </c>
      <c r="W67" s="474">
        <v>6227407</v>
      </c>
      <c r="X67" s="20">
        <f t="shared" si="12"/>
        <v>6227407</v>
      </c>
      <c r="Y67" s="148">
        <f t="shared" si="13"/>
        <v>15.76</v>
      </c>
      <c r="Z67" s="20">
        <f t="shared" si="14"/>
        <v>3683098</v>
      </c>
      <c r="AA67" s="20">
        <f t="shared" si="15"/>
        <v>7779598</v>
      </c>
      <c r="AB67" s="149">
        <f t="shared" si="22"/>
        <v>26.56</v>
      </c>
      <c r="AC67" s="150">
        <f t="shared" si="23"/>
        <v>22.33</v>
      </c>
      <c r="AD67" s="128">
        <f t="shared" si="24"/>
        <v>48.89</v>
      </c>
      <c r="AE67" s="78">
        <f t="shared" si="16"/>
        <v>11462696</v>
      </c>
      <c r="AF67" s="156">
        <v>2.1299999999999999E-2</v>
      </c>
      <c r="AG67" s="283">
        <v>14520505</v>
      </c>
      <c r="AH67" s="283">
        <v>0</v>
      </c>
      <c r="AI67" s="483">
        <f t="shared" si="17"/>
        <v>14520505</v>
      </c>
      <c r="AJ67" s="78">
        <v>671741362</v>
      </c>
      <c r="AK67" s="78">
        <f t="shared" si="28"/>
        <v>681713850</v>
      </c>
      <c r="AL67" s="584">
        <f t="shared" si="18"/>
        <v>1.4845725697623486E-2</v>
      </c>
      <c r="AM67" s="587">
        <f t="shared" si="19"/>
        <v>681713850</v>
      </c>
      <c r="AN67" s="130">
        <f t="shared" si="25"/>
        <v>2.1299999992665544E-2</v>
      </c>
      <c r="AO67" s="130">
        <f t="shared" si="26"/>
        <v>0</v>
      </c>
      <c r="AP67" s="78">
        <v>309654</v>
      </c>
      <c r="AQ67" s="78">
        <f t="shared" si="27"/>
        <v>26292855</v>
      </c>
      <c r="AR67" s="78">
        <f>ROUND(AQ67/'Table 3 Levels 1&amp;2'!C67,2)</f>
        <v>4049.42</v>
      </c>
    </row>
    <row r="68" spans="1:44">
      <c r="A68" s="12">
        <v>61</v>
      </c>
      <c r="B68" s="69" t="s">
        <v>152</v>
      </c>
      <c r="C68" s="14">
        <v>392504800</v>
      </c>
      <c r="D68" s="14">
        <v>39614303</v>
      </c>
      <c r="E68" s="14">
        <f t="shared" si="9"/>
        <v>352890497</v>
      </c>
      <c r="F68" s="14">
        <v>328455777</v>
      </c>
      <c r="G68" s="576">
        <f t="shared" si="10"/>
        <v>7.4392724107878908E-2</v>
      </c>
      <c r="H68" s="577">
        <f t="shared" si="21"/>
        <v>352890497</v>
      </c>
      <c r="I68" s="487">
        <v>4.3899999999999997</v>
      </c>
      <c r="J68" s="472">
        <v>1552509</v>
      </c>
      <c r="K68" s="487">
        <v>27</v>
      </c>
      <c r="L68" s="472">
        <v>9548461</v>
      </c>
      <c r="M68" s="471">
        <v>0</v>
      </c>
      <c r="N68" s="471">
        <v>0</v>
      </c>
      <c r="O68" s="471">
        <v>0</v>
      </c>
      <c r="P68" s="472">
        <v>0</v>
      </c>
      <c r="Q68" s="77">
        <f t="shared" si="11"/>
        <v>11100970</v>
      </c>
      <c r="R68" s="471">
        <v>4</v>
      </c>
      <c r="S68" s="472">
        <v>1414587</v>
      </c>
      <c r="T68" s="471">
        <v>0</v>
      </c>
      <c r="U68" s="471">
        <v>0</v>
      </c>
      <c r="V68" s="471">
        <v>0</v>
      </c>
      <c r="W68" s="472">
        <v>0</v>
      </c>
      <c r="X68" s="14">
        <f t="shared" si="12"/>
        <v>1414587</v>
      </c>
      <c r="Y68" s="145">
        <f t="shared" si="13"/>
        <v>35.39</v>
      </c>
      <c r="Z68" s="14">
        <f t="shared" si="14"/>
        <v>12515557</v>
      </c>
      <c r="AA68" s="14">
        <f t="shared" si="15"/>
        <v>0</v>
      </c>
      <c r="AB68" s="146">
        <f t="shared" si="22"/>
        <v>4.01</v>
      </c>
      <c r="AC68" s="147">
        <f t="shared" si="23"/>
        <v>31.46</v>
      </c>
      <c r="AD68" s="127">
        <f t="shared" si="24"/>
        <v>35.47</v>
      </c>
      <c r="AE68" s="77">
        <f t="shared" si="16"/>
        <v>12515557</v>
      </c>
      <c r="AF68" s="155">
        <v>0.02</v>
      </c>
      <c r="AG68" s="282">
        <v>11835265</v>
      </c>
      <c r="AH68" s="282">
        <v>0</v>
      </c>
      <c r="AI68" s="482">
        <f t="shared" si="17"/>
        <v>11835265</v>
      </c>
      <c r="AJ68" s="77">
        <v>510373150</v>
      </c>
      <c r="AK68" s="77">
        <f t="shared" si="28"/>
        <v>591763250</v>
      </c>
      <c r="AL68" s="585">
        <f t="shared" si="18"/>
        <v>0.15947175120791524</v>
      </c>
      <c r="AM68" s="588">
        <f t="shared" si="19"/>
        <v>586929122.5</v>
      </c>
      <c r="AN68" s="129">
        <f t="shared" si="25"/>
        <v>0.02</v>
      </c>
      <c r="AO68" s="129">
        <f t="shared" si="26"/>
        <v>0</v>
      </c>
      <c r="AP68" s="77">
        <v>156507.5</v>
      </c>
      <c r="AQ68" s="77">
        <f t="shared" si="27"/>
        <v>24507329.5</v>
      </c>
      <c r="AR68" s="77">
        <f>ROUND(AQ68/'Table 3 Levels 1&amp;2'!C68,2)</f>
        <v>6769.98</v>
      </c>
    </row>
    <row r="69" spans="1:44">
      <c r="A69" s="12">
        <v>62</v>
      </c>
      <c r="B69" s="69" t="s">
        <v>153</v>
      </c>
      <c r="C69" s="14">
        <v>69021260</v>
      </c>
      <c r="D69" s="14">
        <v>16243936</v>
      </c>
      <c r="E69" s="14">
        <f t="shared" si="9"/>
        <v>52777324</v>
      </c>
      <c r="F69" s="14">
        <v>50448171</v>
      </c>
      <c r="G69" s="576">
        <f t="shared" si="10"/>
        <v>4.6169225837741475E-2</v>
      </c>
      <c r="H69" s="577">
        <f t="shared" si="21"/>
        <v>52777324</v>
      </c>
      <c r="I69" s="487">
        <v>7.03</v>
      </c>
      <c r="J69" s="472">
        <v>356747</v>
      </c>
      <c r="K69" s="487">
        <v>16.899999999999999</v>
      </c>
      <c r="L69" s="472">
        <v>888369</v>
      </c>
      <c r="M69" s="471">
        <v>4.47</v>
      </c>
      <c r="N69" s="471">
        <v>4.47</v>
      </c>
      <c r="O69" s="471">
        <v>1</v>
      </c>
      <c r="P69" s="472">
        <v>107285</v>
      </c>
      <c r="Q69" s="77">
        <f t="shared" si="11"/>
        <v>1352401</v>
      </c>
      <c r="R69" s="471">
        <v>0</v>
      </c>
      <c r="S69" s="472">
        <v>0</v>
      </c>
      <c r="T69" s="471">
        <v>0</v>
      </c>
      <c r="U69" s="471">
        <v>0</v>
      </c>
      <c r="V69" s="471">
        <v>0</v>
      </c>
      <c r="W69" s="472"/>
      <c r="X69" s="14">
        <f t="shared" si="12"/>
        <v>0</v>
      </c>
      <c r="Y69" s="145">
        <f t="shared" si="13"/>
        <v>23.93</v>
      </c>
      <c r="Z69" s="14">
        <f>J69+L69+S69</f>
        <v>1245116</v>
      </c>
      <c r="AA69" s="14">
        <f t="shared" si="15"/>
        <v>107285</v>
      </c>
      <c r="AB69" s="146">
        <f t="shared" si="22"/>
        <v>0</v>
      </c>
      <c r="AC69" s="147">
        <f t="shared" si="23"/>
        <v>25.62</v>
      </c>
      <c r="AD69" s="127">
        <f t="shared" si="24"/>
        <v>25.62</v>
      </c>
      <c r="AE69" s="77">
        <f t="shared" si="16"/>
        <v>1352401</v>
      </c>
      <c r="AF69" s="155">
        <v>0.02</v>
      </c>
      <c r="AG69" s="282">
        <v>2408700</v>
      </c>
      <c r="AH69" s="282">
        <v>0</v>
      </c>
      <c r="AI69" s="482">
        <f t="shared" si="17"/>
        <v>2408700</v>
      </c>
      <c r="AJ69" s="77">
        <v>113624700</v>
      </c>
      <c r="AK69" s="77">
        <f t="shared" si="28"/>
        <v>120435000</v>
      </c>
      <c r="AL69" s="583">
        <f t="shared" si="18"/>
        <v>5.9936791912321881E-2</v>
      </c>
      <c r="AM69" s="586">
        <f t="shared" si="19"/>
        <v>120435000</v>
      </c>
      <c r="AN69" s="129">
        <f t="shared" si="25"/>
        <v>0.02</v>
      </c>
      <c r="AO69" s="129">
        <f t="shared" si="26"/>
        <v>0</v>
      </c>
      <c r="AP69" s="77">
        <v>99511</v>
      </c>
      <c r="AQ69" s="77">
        <f t="shared" si="27"/>
        <v>3860612</v>
      </c>
      <c r="AR69" s="77">
        <f>ROUND(AQ69/'Table 3 Levels 1&amp;2'!C69,2)</f>
        <v>1834.02</v>
      </c>
    </row>
    <row r="70" spans="1:44">
      <c r="A70" s="12">
        <v>63</v>
      </c>
      <c r="B70" s="69" t="s">
        <v>154</v>
      </c>
      <c r="C70" s="14">
        <v>285153365</v>
      </c>
      <c r="D70" s="14">
        <v>16839952</v>
      </c>
      <c r="E70" s="14">
        <f t="shared" si="9"/>
        <v>268313413</v>
      </c>
      <c r="F70" s="14">
        <v>271070965</v>
      </c>
      <c r="G70" s="576">
        <f t="shared" si="10"/>
        <v>-1.0172804748749096E-2</v>
      </c>
      <c r="H70" s="577">
        <f t="shared" si="21"/>
        <v>268313413</v>
      </c>
      <c r="I70" s="487">
        <v>4.46</v>
      </c>
      <c r="J70" s="472">
        <v>1155674</v>
      </c>
      <c r="K70" s="487">
        <v>29.5</v>
      </c>
      <c r="L70" s="472">
        <v>7753675</v>
      </c>
      <c r="M70" s="471">
        <v>0</v>
      </c>
      <c r="N70" s="471">
        <v>0</v>
      </c>
      <c r="O70" s="471">
        <v>0</v>
      </c>
      <c r="P70" s="472">
        <v>0</v>
      </c>
      <c r="Q70" s="77">
        <f t="shared" si="11"/>
        <v>8909349</v>
      </c>
      <c r="R70" s="471">
        <v>2</v>
      </c>
      <c r="S70" s="472">
        <v>1027137</v>
      </c>
      <c r="T70" s="471">
        <v>0</v>
      </c>
      <c r="U70" s="471">
        <v>0</v>
      </c>
      <c r="V70" s="471">
        <v>0</v>
      </c>
      <c r="W70" s="472">
        <v>0</v>
      </c>
      <c r="X70" s="14">
        <f t="shared" si="12"/>
        <v>1027137</v>
      </c>
      <c r="Y70" s="145">
        <f t="shared" si="13"/>
        <v>35.96</v>
      </c>
      <c r="Z70" s="14">
        <f t="shared" si="14"/>
        <v>9936486</v>
      </c>
      <c r="AA70" s="14">
        <f t="shared" si="15"/>
        <v>0</v>
      </c>
      <c r="AB70" s="146">
        <f t="shared" si="22"/>
        <v>3.83</v>
      </c>
      <c r="AC70" s="147">
        <f t="shared" si="23"/>
        <v>33.21</v>
      </c>
      <c r="AD70" s="127">
        <f t="shared" si="24"/>
        <v>37.03</v>
      </c>
      <c r="AE70" s="77">
        <f t="shared" si="16"/>
        <v>9936486</v>
      </c>
      <c r="AF70" s="155">
        <v>2.5000000000000001E-2</v>
      </c>
      <c r="AG70" s="282">
        <v>4451261</v>
      </c>
      <c r="AH70" s="282">
        <v>0</v>
      </c>
      <c r="AI70" s="482">
        <f t="shared" si="17"/>
        <v>4451261</v>
      </c>
      <c r="AJ70" s="77">
        <v>166329400</v>
      </c>
      <c r="AK70" s="77">
        <f t="shared" si="28"/>
        <v>178050440</v>
      </c>
      <c r="AL70" s="583">
        <f t="shared" si="18"/>
        <v>7.0468840746133882E-2</v>
      </c>
      <c r="AM70" s="586">
        <f t="shared" si="19"/>
        <v>178050440</v>
      </c>
      <c r="AN70" s="129">
        <f t="shared" si="25"/>
        <v>2.5000000000000001E-2</v>
      </c>
      <c r="AO70" s="129">
        <f t="shared" si="26"/>
        <v>0</v>
      </c>
      <c r="AP70" s="77">
        <v>56320.5</v>
      </c>
      <c r="AQ70" s="77">
        <f t="shared" si="27"/>
        <v>14444067.5</v>
      </c>
      <c r="AR70" s="77">
        <f>ROUND(AQ70/'Table 3 Levels 1&amp;2'!C70,2)</f>
        <v>7087.37</v>
      </c>
    </row>
    <row r="71" spans="1:44">
      <c r="A71" s="12">
        <v>64</v>
      </c>
      <c r="B71" s="69" t="s">
        <v>155</v>
      </c>
      <c r="C71" s="14">
        <v>79447343</v>
      </c>
      <c r="D71" s="14">
        <v>16176475</v>
      </c>
      <c r="E71" s="14">
        <f t="shared" si="9"/>
        <v>63270868</v>
      </c>
      <c r="F71" s="14">
        <v>70009749</v>
      </c>
      <c r="G71" s="129">
        <f t="shared" si="10"/>
        <v>-9.6256322815840983E-2</v>
      </c>
      <c r="H71" s="1234">
        <f t="shared" si="21"/>
        <v>63270868</v>
      </c>
      <c r="I71" s="487">
        <v>4.88</v>
      </c>
      <c r="J71" s="472">
        <v>300021</v>
      </c>
      <c r="K71" s="487">
        <v>15.64</v>
      </c>
      <c r="L71" s="472">
        <v>962794</v>
      </c>
      <c r="M71" s="471">
        <v>3</v>
      </c>
      <c r="N71" s="471">
        <v>3.12</v>
      </c>
      <c r="O71" s="471">
        <v>2</v>
      </c>
      <c r="P71" s="472">
        <v>157249</v>
      </c>
      <c r="Q71" s="77">
        <f t="shared" si="11"/>
        <v>1420064</v>
      </c>
      <c r="R71" s="471">
        <v>0</v>
      </c>
      <c r="S71" s="472">
        <v>0</v>
      </c>
      <c r="T71" s="471">
        <v>16</v>
      </c>
      <c r="U71" s="471">
        <v>45</v>
      </c>
      <c r="V71" s="471">
        <v>4</v>
      </c>
      <c r="W71" s="472">
        <v>1422171</v>
      </c>
      <c r="X71" s="14">
        <f t="shared" si="12"/>
        <v>1422171</v>
      </c>
      <c r="Y71" s="145">
        <f t="shared" si="13"/>
        <v>20.52</v>
      </c>
      <c r="Z71" s="14">
        <f t="shared" si="14"/>
        <v>1262815</v>
      </c>
      <c r="AA71" s="14">
        <f t="shared" si="15"/>
        <v>1579420</v>
      </c>
      <c r="AB71" s="146">
        <f t="shared" si="22"/>
        <v>22.48</v>
      </c>
      <c r="AC71" s="147">
        <f t="shared" si="23"/>
        <v>22.44</v>
      </c>
      <c r="AD71" s="127">
        <f t="shared" si="24"/>
        <v>44.92</v>
      </c>
      <c r="AE71" s="77">
        <f t="shared" si="16"/>
        <v>2842235</v>
      </c>
      <c r="AF71" s="155">
        <v>0.02</v>
      </c>
      <c r="AG71" s="282">
        <v>3671568</v>
      </c>
      <c r="AH71" s="282">
        <v>0</v>
      </c>
      <c r="AI71" s="482">
        <f t="shared" si="17"/>
        <v>3671568</v>
      </c>
      <c r="AJ71" s="77">
        <v>175201800</v>
      </c>
      <c r="AK71" s="77">
        <f t="shared" si="28"/>
        <v>183578400</v>
      </c>
      <c r="AL71" s="583">
        <f t="shared" si="18"/>
        <v>4.7811152625144265E-2</v>
      </c>
      <c r="AM71" s="586">
        <f t="shared" si="19"/>
        <v>183578400</v>
      </c>
      <c r="AN71" s="129">
        <f t="shared" si="25"/>
        <v>0.02</v>
      </c>
      <c r="AO71" s="129">
        <f t="shared" si="26"/>
        <v>0</v>
      </c>
      <c r="AP71" s="77">
        <v>378258</v>
      </c>
      <c r="AQ71" s="77">
        <f t="shared" si="27"/>
        <v>6892061</v>
      </c>
      <c r="AR71" s="77">
        <f>ROUND(AQ71/'Table 3 Levels 1&amp;2'!C71,2)</f>
        <v>2876.49</v>
      </c>
    </row>
    <row r="72" spans="1:44">
      <c r="A72" s="18">
        <v>65</v>
      </c>
      <c r="B72" s="70" t="s">
        <v>156</v>
      </c>
      <c r="C72" s="20">
        <v>387637647</v>
      </c>
      <c r="D72" s="20">
        <v>46526907</v>
      </c>
      <c r="E72" s="20">
        <f t="shared" si="9"/>
        <v>341110740</v>
      </c>
      <c r="F72" s="20">
        <v>337062437</v>
      </c>
      <c r="G72" s="747">
        <f t="shared" si="10"/>
        <v>1.2010543316637801E-2</v>
      </c>
      <c r="H72" s="748">
        <f t="shared" si="21"/>
        <v>341110740</v>
      </c>
      <c r="I72" s="488">
        <v>7.07</v>
      </c>
      <c r="J72" s="474">
        <v>2405548</v>
      </c>
      <c r="K72" s="488">
        <v>20.57</v>
      </c>
      <c r="L72" s="474">
        <v>7059875</v>
      </c>
      <c r="M72" s="473">
        <v>0</v>
      </c>
      <c r="N72" s="473">
        <v>0</v>
      </c>
      <c r="O72" s="473">
        <v>0</v>
      </c>
      <c r="P72" s="474">
        <v>0</v>
      </c>
      <c r="Q72" s="78">
        <f t="shared" si="11"/>
        <v>9465423</v>
      </c>
      <c r="R72" s="473">
        <v>17</v>
      </c>
      <c r="S72" s="474">
        <v>5819656</v>
      </c>
      <c r="T72" s="473">
        <v>0</v>
      </c>
      <c r="U72" s="473">
        <v>0</v>
      </c>
      <c r="V72" s="473">
        <v>0</v>
      </c>
      <c r="W72" s="474">
        <v>0</v>
      </c>
      <c r="X72" s="20">
        <f t="shared" si="12"/>
        <v>5819656</v>
      </c>
      <c r="Y72" s="148">
        <f t="shared" si="13"/>
        <v>44.64</v>
      </c>
      <c r="Z72" s="20">
        <f t="shared" si="14"/>
        <v>15285079</v>
      </c>
      <c r="AA72" s="20">
        <f t="shared" si="15"/>
        <v>0</v>
      </c>
      <c r="AB72" s="149">
        <f t="shared" ref="AB72:AB77" si="29">ROUND((X72/E72)*1000,2)</f>
        <v>17.059999999999999</v>
      </c>
      <c r="AC72" s="150">
        <f t="shared" ref="AC72:AC77" si="30">ROUND((Q72/E72)*1000,2)</f>
        <v>27.75</v>
      </c>
      <c r="AD72" s="128">
        <f t="shared" ref="AD72:AD77" si="31">ROUND((AE72/E72)*1000,2)</f>
        <v>44.81</v>
      </c>
      <c r="AE72" s="78">
        <f t="shared" si="16"/>
        <v>15285079</v>
      </c>
      <c r="AF72" s="156">
        <v>0.02</v>
      </c>
      <c r="AG72" s="283">
        <v>25768276</v>
      </c>
      <c r="AH72" s="283">
        <v>0</v>
      </c>
      <c r="AI72" s="483">
        <f t="shared" si="17"/>
        <v>25768276</v>
      </c>
      <c r="AJ72" s="78">
        <v>1243900150</v>
      </c>
      <c r="AK72" s="78">
        <f t="shared" si="28"/>
        <v>1288413800</v>
      </c>
      <c r="AL72" s="584">
        <f t="shared" si="18"/>
        <v>3.5785549185760608E-2</v>
      </c>
      <c r="AM72" s="587">
        <f t="shared" si="19"/>
        <v>1288413800</v>
      </c>
      <c r="AN72" s="130">
        <f t="shared" si="25"/>
        <v>0.02</v>
      </c>
      <c r="AO72" s="130">
        <f t="shared" si="26"/>
        <v>0</v>
      </c>
      <c r="AP72" s="78">
        <v>296519</v>
      </c>
      <c r="AQ72" s="78">
        <f>AP72+AE72+AI72</f>
        <v>41349874</v>
      </c>
      <c r="AR72" s="78">
        <f>ROUND(AQ72/'Table 3 Levels 1&amp;2'!C72,2)</f>
        <v>5014.54</v>
      </c>
    </row>
    <row r="73" spans="1:44">
      <c r="A73" s="12">
        <v>66</v>
      </c>
      <c r="B73" s="69" t="s">
        <v>157</v>
      </c>
      <c r="C73" s="77">
        <v>97317860</v>
      </c>
      <c r="D73" s="77">
        <v>20997740</v>
      </c>
      <c r="E73" s="14">
        <f>C73-D73</f>
        <v>76320120</v>
      </c>
      <c r="F73" s="77">
        <v>78604030</v>
      </c>
      <c r="G73" s="576">
        <f>(E73-F73)/F73</f>
        <v>-2.9055889373610998E-2</v>
      </c>
      <c r="H73" s="577">
        <f t="shared" si="21"/>
        <v>76320120</v>
      </c>
      <c r="I73" s="487">
        <v>6.44</v>
      </c>
      <c r="J73" s="472">
        <v>486271</v>
      </c>
      <c r="K73" s="487">
        <v>56.37</v>
      </c>
      <c r="L73" s="472">
        <v>4329966</v>
      </c>
      <c r="M73" s="471">
        <v>0</v>
      </c>
      <c r="N73" s="471">
        <v>0</v>
      </c>
      <c r="O73" s="471">
        <v>0</v>
      </c>
      <c r="P73" s="472">
        <v>0</v>
      </c>
      <c r="Q73" s="77">
        <f>J73+L73+P73</f>
        <v>4816237</v>
      </c>
      <c r="R73" s="471">
        <v>0</v>
      </c>
      <c r="S73" s="472">
        <v>0</v>
      </c>
      <c r="T73" s="471">
        <v>0</v>
      </c>
      <c r="U73" s="471">
        <v>0</v>
      </c>
      <c r="V73" s="471">
        <v>0</v>
      </c>
      <c r="W73" s="472"/>
      <c r="X73" s="77">
        <f>S73+W73</f>
        <v>0</v>
      </c>
      <c r="Y73" s="159">
        <f t="shared" ref="Y73:Z75" si="32">I73+K73+R73</f>
        <v>62.809999999999995</v>
      </c>
      <c r="Z73" s="77">
        <f t="shared" si="32"/>
        <v>4816237</v>
      </c>
      <c r="AA73" s="77">
        <f>P73+W73</f>
        <v>0</v>
      </c>
      <c r="AB73" s="160">
        <f t="shared" si="29"/>
        <v>0</v>
      </c>
      <c r="AC73" s="161">
        <f t="shared" si="30"/>
        <v>63.11</v>
      </c>
      <c r="AD73" s="127">
        <f t="shared" si="31"/>
        <v>63.11</v>
      </c>
      <c r="AE73" s="77">
        <f>X73+Q73</f>
        <v>4816237</v>
      </c>
      <c r="AF73" s="155">
        <v>0.01</v>
      </c>
      <c r="AG73" s="282">
        <v>2415009</v>
      </c>
      <c r="AH73" s="282">
        <v>0</v>
      </c>
      <c r="AI73" s="482">
        <f>AG73+AH73</f>
        <v>2415009</v>
      </c>
      <c r="AJ73" s="77">
        <v>231064300</v>
      </c>
      <c r="AK73" s="77">
        <f t="shared" si="28"/>
        <v>241500900</v>
      </c>
      <c r="AL73" s="583">
        <f>(AK73-AJ73)/AJ73</f>
        <v>4.5167513977710967E-2</v>
      </c>
      <c r="AM73" s="586">
        <f>IF((AK73-AJ73)/AJ73&gt;$AM$5,AJ73*(1+$AM$5),AK73)</f>
        <v>241500900</v>
      </c>
      <c r="AN73" s="129">
        <f t="shared" si="25"/>
        <v>0.01</v>
      </c>
      <c r="AO73" s="129">
        <f t="shared" si="26"/>
        <v>0</v>
      </c>
      <c r="AP73" s="77">
        <v>216332</v>
      </c>
      <c r="AQ73" s="77">
        <f>AP73+AE73+AI73</f>
        <v>7447578</v>
      </c>
      <c r="AR73" s="77">
        <f>ROUND(AQ73/'Table 3 Levels 1&amp;2'!C73,2)</f>
        <v>3677.82</v>
      </c>
    </row>
    <row r="74" spans="1:44" s="75" customFormat="1">
      <c r="A74" s="101">
        <v>67</v>
      </c>
      <c r="B74" s="158" t="s">
        <v>32</v>
      </c>
      <c r="C74" s="77">
        <v>236636240</v>
      </c>
      <c r="D74" s="163">
        <v>38734750</v>
      </c>
      <c r="E74" s="14">
        <f>C74-D74</f>
        <v>197901490</v>
      </c>
      <c r="F74" s="163">
        <v>186663350</v>
      </c>
      <c r="G74" s="749">
        <f>(E74-F74)/F74</f>
        <v>6.0205391149360597E-2</v>
      </c>
      <c r="H74" s="577">
        <f t="shared" si="21"/>
        <v>197901490</v>
      </c>
      <c r="I74" s="159">
        <v>5</v>
      </c>
      <c r="J74" s="77">
        <v>956567</v>
      </c>
      <c r="K74" s="159">
        <v>38.200000000000003</v>
      </c>
      <c r="L74" s="77">
        <v>7655792</v>
      </c>
      <c r="M74" s="477">
        <v>0</v>
      </c>
      <c r="N74" s="477">
        <v>0</v>
      </c>
      <c r="O74" s="81">
        <v>4</v>
      </c>
      <c r="P74" s="77">
        <v>0</v>
      </c>
      <c r="Q74" s="77">
        <f>J74+L74+P74</f>
        <v>8612359</v>
      </c>
      <c r="R74" s="471">
        <v>36</v>
      </c>
      <c r="S74" s="77">
        <v>6965783</v>
      </c>
      <c r="T74" s="477">
        <v>0</v>
      </c>
      <c r="U74" s="477">
        <v>0</v>
      </c>
      <c r="V74" s="81">
        <v>4</v>
      </c>
      <c r="W74" s="77">
        <v>0</v>
      </c>
      <c r="X74" s="77">
        <f>S74+W74</f>
        <v>6965783</v>
      </c>
      <c r="Y74" s="159">
        <f t="shared" si="32"/>
        <v>79.2</v>
      </c>
      <c r="Z74" s="77">
        <f t="shared" si="32"/>
        <v>15578142</v>
      </c>
      <c r="AA74" s="77">
        <f>P74+W74</f>
        <v>0</v>
      </c>
      <c r="AB74" s="160">
        <f t="shared" si="29"/>
        <v>35.200000000000003</v>
      </c>
      <c r="AC74" s="161">
        <f t="shared" si="30"/>
        <v>43.52</v>
      </c>
      <c r="AD74" s="127">
        <f t="shared" si="31"/>
        <v>78.72</v>
      </c>
      <c r="AE74" s="77">
        <f>X74+Q74</f>
        <v>15578142</v>
      </c>
      <c r="AF74" s="155">
        <v>0.02</v>
      </c>
      <c r="AG74" s="282">
        <v>10609846</v>
      </c>
      <c r="AH74" s="282">
        <v>0</v>
      </c>
      <c r="AI74" s="482">
        <f>AG74+AH74</f>
        <v>10609846</v>
      </c>
      <c r="AJ74" s="77">
        <v>388099200</v>
      </c>
      <c r="AK74" s="77">
        <f t="shared" si="28"/>
        <v>530492300</v>
      </c>
      <c r="AL74" s="585">
        <f>(AK74-AJ74)/AJ74</f>
        <v>0.3668987207394398</v>
      </c>
      <c r="AM74" s="588">
        <f>IF((AK74-AJ74)/AJ74&gt;$AM$5,AJ74*(1+$AM$5),AK74)</f>
        <v>446314079.99999994</v>
      </c>
      <c r="AN74" s="129">
        <f t="shared" si="25"/>
        <v>0.02</v>
      </c>
      <c r="AO74" s="129">
        <f t="shared" si="26"/>
        <v>0</v>
      </c>
      <c r="AP74" s="77">
        <v>82848</v>
      </c>
      <c r="AQ74" s="77">
        <f>AP74+AE74+AI74</f>
        <v>26270836</v>
      </c>
      <c r="AR74" s="77">
        <f>ROUND(AQ74/'Table 3 Levels 1&amp;2'!C74,2)</f>
        <v>5153.17</v>
      </c>
    </row>
    <row r="75" spans="1:44" s="75" customFormat="1">
      <c r="A75" s="101">
        <v>68</v>
      </c>
      <c r="B75" s="158" t="s">
        <v>30</v>
      </c>
      <c r="C75" s="77">
        <v>62011730</v>
      </c>
      <c r="D75" s="163">
        <v>21144000</v>
      </c>
      <c r="E75" s="163">
        <f>C75-D75</f>
        <v>40867730</v>
      </c>
      <c r="F75" s="163">
        <v>44450770</v>
      </c>
      <c r="G75" s="749">
        <f>(E75-F75)/F75</f>
        <v>-8.0606927619026617E-2</v>
      </c>
      <c r="H75" s="577">
        <f t="shared" si="21"/>
        <v>40867730</v>
      </c>
      <c r="I75" s="159">
        <v>5</v>
      </c>
      <c r="J75" s="77">
        <v>213808</v>
      </c>
      <c r="K75" s="159">
        <v>38.200000000000003</v>
      </c>
      <c r="L75" s="77">
        <v>1541013</v>
      </c>
      <c r="M75" s="477">
        <v>0</v>
      </c>
      <c r="N75" s="477">
        <v>0</v>
      </c>
      <c r="O75" s="81">
        <v>0</v>
      </c>
      <c r="P75" s="77">
        <v>0</v>
      </c>
      <c r="Q75" s="77">
        <f>J75+L75+P75</f>
        <v>1754821</v>
      </c>
      <c r="R75" s="471">
        <v>0</v>
      </c>
      <c r="S75" s="77">
        <v>0</v>
      </c>
      <c r="T75" s="477">
        <v>0</v>
      </c>
      <c r="U75" s="477">
        <v>0</v>
      </c>
      <c r="V75" s="81">
        <v>0</v>
      </c>
      <c r="W75" s="77">
        <v>0</v>
      </c>
      <c r="X75" s="77">
        <f>S75+W75</f>
        <v>0</v>
      </c>
      <c r="Y75" s="159">
        <f t="shared" si="32"/>
        <v>43.2</v>
      </c>
      <c r="Z75" s="77">
        <f t="shared" si="32"/>
        <v>1754821</v>
      </c>
      <c r="AA75" s="77">
        <f>P75+W75</f>
        <v>0</v>
      </c>
      <c r="AB75" s="160">
        <f t="shared" si="29"/>
        <v>0</v>
      </c>
      <c r="AC75" s="161">
        <f t="shared" si="30"/>
        <v>42.94</v>
      </c>
      <c r="AD75" s="127">
        <f t="shared" si="31"/>
        <v>42.94</v>
      </c>
      <c r="AE75" s="77">
        <f>X75+Q75</f>
        <v>1754821</v>
      </c>
      <c r="AF75" s="155">
        <v>0.02</v>
      </c>
      <c r="AG75" s="282">
        <v>3064477</v>
      </c>
      <c r="AH75" s="282">
        <v>0</v>
      </c>
      <c r="AI75" s="482">
        <f>AG75+AH75</f>
        <v>3064477</v>
      </c>
      <c r="AJ75" s="77">
        <v>161011650</v>
      </c>
      <c r="AK75" s="77">
        <f t="shared" si="28"/>
        <v>153223850</v>
      </c>
      <c r="AL75" s="583">
        <f>(AK75-AJ75)/AJ75</f>
        <v>-4.8367928656094142E-2</v>
      </c>
      <c r="AM75" s="586">
        <f>IF((AK75-AJ75)/AJ75&gt;$AM$5,AJ75*(1+$AM$5),AK75)</f>
        <v>153223850</v>
      </c>
      <c r="AN75" s="129">
        <f t="shared" si="25"/>
        <v>0.02</v>
      </c>
      <c r="AO75" s="129">
        <f t="shared" si="26"/>
        <v>0</v>
      </c>
      <c r="AP75" s="77">
        <v>45224</v>
      </c>
      <c r="AQ75" s="77">
        <f>AP75+AE75+AI75</f>
        <v>4864522</v>
      </c>
      <c r="AR75" s="77">
        <f>ROUND(AQ75/'Table 3 Levels 1&amp;2'!C75,2)</f>
        <v>2838.11</v>
      </c>
    </row>
    <row r="76" spans="1:44" s="107" customFormat="1">
      <c r="A76" s="101">
        <v>69</v>
      </c>
      <c r="B76" s="158" t="s">
        <v>208</v>
      </c>
      <c r="C76" s="77">
        <v>172552240</v>
      </c>
      <c r="D76" s="163">
        <v>62717500</v>
      </c>
      <c r="E76" s="163">
        <f>C76-D76</f>
        <v>109834740</v>
      </c>
      <c r="F76" s="163">
        <v>105395730</v>
      </c>
      <c r="G76" s="749">
        <f>(E76-F76)/F76</f>
        <v>4.2117550682556112E-2</v>
      </c>
      <c r="H76" s="577">
        <f t="shared" si="21"/>
        <v>109834740</v>
      </c>
      <c r="I76" s="159">
        <v>4.58</v>
      </c>
      <c r="J76" s="77">
        <v>491680</v>
      </c>
      <c r="K76" s="159">
        <v>35.21</v>
      </c>
      <c r="L76" s="77">
        <v>3788012</v>
      </c>
      <c r="M76" s="477">
        <v>0</v>
      </c>
      <c r="N76" s="477">
        <v>0</v>
      </c>
      <c r="O76" s="81">
        <v>0</v>
      </c>
      <c r="P76" s="77">
        <v>0</v>
      </c>
      <c r="Q76" s="478">
        <f>J76+L76+P76</f>
        <v>4279692</v>
      </c>
      <c r="R76" s="473">
        <v>23.65</v>
      </c>
      <c r="S76" s="77">
        <v>2543809</v>
      </c>
      <c r="T76" s="477">
        <v>0</v>
      </c>
      <c r="U76" s="477">
        <v>0</v>
      </c>
      <c r="V76" s="81">
        <v>0</v>
      </c>
      <c r="W76" s="77">
        <v>0</v>
      </c>
      <c r="X76" s="478">
        <f>S76+W76</f>
        <v>2543809</v>
      </c>
      <c r="Y76" s="159">
        <f>I76+K76+R76</f>
        <v>63.44</v>
      </c>
      <c r="Z76" s="77">
        <f>J76+L76+S76</f>
        <v>6823501</v>
      </c>
      <c r="AA76" s="77">
        <f>P76+W76</f>
        <v>0</v>
      </c>
      <c r="AB76" s="479">
        <f t="shared" si="29"/>
        <v>23.16</v>
      </c>
      <c r="AC76" s="480">
        <f t="shared" si="30"/>
        <v>38.96</v>
      </c>
      <c r="AD76" s="481">
        <f t="shared" si="31"/>
        <v>62.13</v>
      </c>
      <c r="AE76" s="77">
        <f>X76+Q76</f>
        <v>6823501</v>
      </c>
      <c r="AF76" s="155">
        <v>2.5000000000000001E-2</v>
      </c>
      <c r="AG76" s="282">
        <v>5860228</v>
      </c>
      <c r="AH76" s="282">
        <v>1463309</v>
      </c>
      <c r="AI76" s="482">
        <f>AG76+AH76</f>
        <v>7323537</v>
      </c>
      <c r="AJ76" s="77">
        <v>268690320</v>
      </c>
      <c r="AK76" s="77">
        <f t="shared" si="28"/>
        <v>292941480</v>
      </c>
      <c r="AL76" s="583">
        <f>(AK76-AJ76)/AJ76</f>
        <v>9.0256917331446848E-2</v>
      </c>
      <c r="AM76" s="586">
        <f>IF((AK76-AJ76)/AJ76&gt;$AM$5,AJ76*(1+$AM$5),AK76)</f>
        <v>292941480</v>
      </c>
      <c r="AN76" s="129">
        <f t="shared" si="25"/>
        <v>2.0004773649672281E-2</v>
      </c>
      <c r="AO76" s="129">
        <f t="shared" si="26"/>
        <v>4.9952263503277175E-3</v>
      </c>
      <c r="AP76" s="77">
        <v>0</v>
      </c>
      <c r="AQ76" s="77">
        <f>AP76+AE76+AI76</f>
        <v>14147038</v>
      </c>
      <c r="AR76" s="77">
        <f>ROUND(AQ76/'Table 3 Levels 1&amp;2'!C76,2)</f>
        <v>3373.97</v>
      </c>
    </row>
    <row r="77" spans="1:44" s="62" customFormat="1" ht="13.5" thickBot="1">
      <c r="A77" s="375"/>
      <c r="B77" s="376" t="s">
        <v>89</v>
      </c>
      <c r="C77" s="157">
        <f>SUM(C8:C76)</f>
        <v>40735525511</v>
      </c>
      <c r="D77" s="157">
        <f>SUM(D8:D76)</f>
        <v>6820688843</v>
      </c>
      <c r="E77" s="157">
        <f>SUM(E8:E76)</f>
        <v>33914836668</v>
      </c>
      <c r="F77" s="377">
        <f>SUM(F8:F76)</f>
        <v>32512371740</v>
      </c>
      <c r="G77" s="941">
        <f>(E77-F77)/F77</f>
        <v>4.3136346348874519E-2</v>
      </c>
      <c r="H77" s="942">
        <f>SUM(H8:H76)</f>
        <v>33628503076.299995</v>
      </c>
      <c r="I77" s="378">
        <v>5.07</v>
      </c>
      <c r="J77" s="157">
        <f>SUM(J8:J76)</f>
        <v>218348990</v>
      </c>
      <c r="K77" s="379">
        <v>23.86</v>
      </c>
      <c r="L77" s="157">
        <f>SUM(L8:L76)</f>
        <v>883395398</v>
      </c>
      <c r="M77" s="379">
        <v>0</v>
      </c>
      <c r="N77" s="379">
        <v>89.78</v>
      </c>
      <c r="O77" s="379">
        <f>SUM(O8:O76)</f>
        <v>128</v>
      </c>
      <c r="P77" s="157">
        <f>SUM(P8:P76)</f>
        <v>31262376</v>
      </c>
      <c r="Q77" s="157">
        <f>SUM(Q8:Q76)</f>
        <v>1133006764</v>
      </c>
      <c r="R77" s="484">
        <v>4.99</v>
      </c>
      <c r="S77" s="412">
        <f>SUM(S8:S76)</f>
        <v>155292511</v>
      </c>
      <c r="T77" s="484">
        <v>0</v>
      </c>
      <c r="U77" s="484">
        <v>70</v>
      </c>
      <c r="V77" s="484">
        <f>SUM(V8:V76)</f>
        <v>132</v>
      </c>
      <c r="W77" s="412">
        <f>SUM(W8:W76)</f>
        <v>83636615</v>
      </c>
      <c r="X77" s="157">
        <f>SUM(X8:X76)</f>
        <v>238929126</v>
      </c>
      <c r="Y77" s="379"/>
      <c r="Z77" s="157">
        <f>SUM(Z8:Z76)</f>
        <v>1257036899</v>
      </c>
      <c r="AA77" s="157">
        <f>SUM(AA8:AA76)</f>
        <v>114898991</v>
      </c>
      <c r="AB77" s="380">
        <f t="shared" si="29"/>
        <v>7.04</v>
      </c>
      <c r="AC77" s="381">
        <f t="shared" si="30"/>
        <v>33.409999999999997</v>
      </c>
      <c r="AD77" s="750">
        <f t="shared" si="31"/>
        <v>40.450000000000003</v>
      </c>
      <c r="AE77" s="157">
        <f>SUM(AE8:AE76)</f>
        <v>1371935890</v>
      </c>
      <c r="AF77" s="470">
        <f>ROUND(AI77/AK77,4)</f>
        <v>1.9900000000000001E-2</v>
      </c>
      <c r="AG77" s="743">
        <f>SUM(AG8:AG76)</f>
        <v>1627106430</v>
      </c>
      <c r="AH77" s="743">
        <f>SUM(AH8:AH76)</f>
        <v>42166170</v>
      </c>
      <c r="AI77" s="377">
        <f>SUM(AI8:AI76)</f>
        <v>1669272600</v>
      </c>
      <c r="AJ77" s="377">
        <f>SUM(AJ8:AJ76)</f>
        <v>82977212324.5</v>
      </c>
      <c r="AK77" s="377">
        <f>SUM(AK8:AK76)</f>
        <v>84073022650</v>
      </c>
      <c r="AL77" s="945">
        <f>(AK77-AJ77)/AJ77</f>
        <v>1.3206159797398365E-2</v>
      </c>
      <c r="AM77" s="377">
        <f>SUM(AM8:AM76)</f>
        <v>83696655339.525009</v>
      </c>
      <c r="AN77" s="382">
        <f>ROUND(AG77/$AK77,4)</f>
        <v>1.9400000000000001E-2</v>
      </c>
      <c r="AO77" s="382">
        <f>ROUND(AH77/$AK77,4)</f>
        <v>5.0000000000000001E-4</v>
      </c>
      <c r="AP77" s="412">
        <f>SUM(AP8:AP76)</f>
        <v>37437635.5</v>
      </c>
      <c r="AQ77" s="157">
        <f>SUM(AQ8:AQ76)</f>
        <v>3078646125.5</v>
      </c>
      <c r="AR77" s="157">
        <f>ROUND(AQ77/'Table 3 Levels 1&amp;2'!C77,2)</f>
        <v>4568.3500000000004</v>
      </c>
    </row>
    <row r="78" spans="1:44" ht="12.75" customHeight="1" thickTop="1">
      <c r="I78" s="75"/>
      <c r="AF78" s="155"/>
      <c r="AG78" s="434"/>
      <c r="AH78" s="434"/>
      <c r="AI78" s="590"/>
    </row>
    <row r="79" spans="1:44" hidden="1">
      <c r="D79" s="293"/>
      <c r="J79" s="775"/>
      <c r="L79" s="775"/>
      <c r="Q79" s="59">
        <f>J77+L77+P77</f>
        <v>1133006764</v>
      </c>
      <c r="S79" s="775" t="s">
        <v>481</v>
      </c>
      <c r="W79" s="775" t="s">
        <v>482</v>
      </c>
      <c r="X79" s="59">
        <f>S77+W77</f>
        <v>238929126</v>
      </c>
      <c r="AF79" s="284"/>
      <c r="AG79" s="777" t="s">
        <v>415</v>
      </c>
      <c r="AH79" s="434"/>
      <c r="AI79" s="591" t="s">
        <v>334</v>
      </c>
      <c r="AO79" s="434"/>
    </row>
    <row r="80" spans="1:44" hidden="1">
      <c r="E80" s="59"/>
      <c r="J80" s="776" t="s">
        <v>483</v>
      </c>
      <c r="L80" s="775" t="s">
        <v>484</v>
      </c>
      <c r="AD80" s="334"/>
      <c r="AF80" s="284"/>
      <c r="AG80" s="434"/>
      <c r="AH80" s="434"/>
      <c r="AI80" s="453" t="s">
        <v>235</v>
      </c>
      <c r="AJ80" s="162"/>
      <c r="AK80" s="162"/>
      <c r="AL80" s="162"/>
      <c r="AM80" s="162"/>
      <c r="AQ80" s="162"/>
    </row>
    <row r="81" spans="1:45" s="75" customFormat="1" hidden="1">
      <c r="A81" s="445"/>
      <c r="B81" s="168"/>
      <c r="C81"/>
      <c r="D81"/>
      <c r="E81"/>
      <c r="F81"/>
      <c r="G81"/>
      <c r="H81"/>
      <c r="I81"/>
      <c r="J81" s="775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 s="35"/>
      <c r="AF81" s="247"/>
      <c r="AG81" s="742"/>
      <c r="AH81" s="201"/>
      <c r="AI81" s="429">
        <f>AG77+AH77</f>
        <v>1669272600</v>
      </c>
      <c r="AJ81" s="231"/>
      <c r="AK81" s="231"/>
      <c r="AL81" s="247"/>
      <c r="AM81" s="231"/>
      <c r="AN81" s="201"/>
      <c r="AO81" s="201"/>
      <c r="AP81" s="231"/>
      <c r="AQ81" s="231"/>
      <c r="AR81" s="231"/>
      <c r="AS81" s="176"/>
    </row>
    <row r="82" spans="1:45" hidden="1">
      <c r="AE82" s="35"/>
      <c r="AF82" s="35"/>
      <c r="AG82" s="430"/>
      <c r="AH82" s="35"/>
      <c r="AI82" s="430">
        <f>AI77-AI81</f>
        <v>0</v>
      </c>
      <c r="AJ82" s="35"/>
      <c r="AK82" s="35"/>
      <c r="AL82" s="35"/>
      <c r="AM82" s="431"/>
      <c r="AN82" s="35"/>
      <c r="AO82" s="35"/>
      <c r="AP82" s="35"/>
      <c r="AQ82" s="35"/>
      <c r="AR82" s="35"/>
      <c r="AS82" s="35"/>
    </row>
    <row r="83" spans="1:45">
      <c r="AE83" s="35"/>
      <c r="AF83" s="35"/>
      <c r="AG83" s="430"/>
      <c r="AH83" s="35"/>
      <c r="AI83" s="430"/>
      <c r="AJ83" s="35"/>
      <c r="AK83" s="35"/>
      <c r="AL83" s="35"/>
      <c r="AM83" s="432"/>
      <c r="AN83" s="35"/>
      <c r="AO83" s="35"/>
      <c r="AP83" s="35"/>
      <c r="AQ83" s="35"/>
      <c r="AR83" s="35"/>
      <c r="AS83" s="35"/>
    </row>
    <row r="84" spans="1:45"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</row>
    <row r="85" spans="1:45"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</row>
    <row r="86" spans="1:45"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</row>
  </sheetData>
  <mergeCells count="50">
    <mergeCell ref="AR3:AR5"/>
    <mergeCell ref="AQ3:AQ5"/>
    <mergeCell ref="AI3:AI5"/>
    <mergeCell ref="AE3:AE5"/>
    <mergeCell ref="AJ4:AJ5"/>
    <mergeCell ref="AK4:AK5"/>
    <mergeCell ref="AF4:AF5"/>
    <mergeCell ref="AG4:AG5"/>
    <mergeCell ref="AH4:AH5"/>
    <mergeCell ref="AO4:AO5"/>
    <mergeCell ref="AP3:AP5"/>
    <mergeCell ref="AF3:AH3"/>
    <mergeCell ref="J4:J5"/>
    <mergeCell ref="S4:S5"/>
    <mergeCell ref="M4:M5"/>
    <mergeCell ref="N4:N5"/>
    <mergeCell ref="V4:V5"/>
    <mergeCell ref="W4:W5"/>
    <mergeCell ref="C2:D2"/>
    <mergeCell ref="I3:J3"/>
    <mergeCell ref="K3:P3"/>
    <mergeCell ref="C3:H3"/>
    <mergeCell ref="P4:P5"/>
    <mergeCell ref="R4:R5"/>
    <mergeCell ref="Q3:Q5"/>
    <mergeCell ref="R3:W3"/>
    <mergeCell ref="T4:T5"/>
    <mergeCell ref="U4:U5"/>
    <mergeCell ref="K4:K5"/>
    <mergeCell ref="L4:L5"/>
    <mergeCell ref="G4:G5"/>
    <mergeCell ref="I4:I5"/>
    <mergeCell ref="O4:O5"/>
    <mergeCell ref="A3:A5"/>
    <mergeCell ref="B3:B5"/>
    <mergeCell ref="C4:C5"/>
    <mergeCell ref="D4:D5"/>
    <mergeCell ref="F4:F5"/>
    <mergeCell ref="E4:E5"/>
    <mergeCell ref="X3:X5"/>
    <mergeCell ref="Y3:AD3"/>
    <mergeCell ref="AJ3:AO3"/>
    <mergeCell ref="AC4:AC5"/>
    <mergeCell ref="AD4:AD5"/>
    <mergeCell ref="AL4:AL5"/>
    <mergeCell ref="AN4:AN5"/>
    <mergeCell ref="Y4:Y5"/>
    <mergeCell ref="Z4:Z5"/>
    <mergeCell ref="AA4:AA5"/>
    <mergeCell ref="AB4:AB5"/>
  </mergeCells>
  <phoneticPr fontId="0" type="noConversion"/>
  <printOptions horizontalCentered="1"/>
  <pageMargins left="0.19" right="0.19" top="1.02" bottom="0.35" header="0.35" footer="0.27"/>
  <pageSetup paperSize="5" scale="85" firstPageNumber="97" fitToWidth="0" orientation="portrait" useFirstPageNumber="1" r:id="rId1"/>
  <headerFooter alignWithMargins="0">
    <oddHeader xml:space="preserve">&amp;L&amp;"Arial,Bold"&amp;18Table 7: FY2013-14 Budget Letter &amp;20
&amp;18FY2011-2012 Local Property and Sales Tax Revenues </oddHeader>
    <oddFooter>&amp;R&amp;12&amp;P</oddFooter>
  </headerFooter>
  <colBreaks count="5" manualBreakCount="5">
    <brk id="8" min="2" max="76" man="1"/>
    <brk id="17" min="2" max="76" man="1"/>
    <brk id="24" min="2" max="76" man="1"/>
    <brk id="31" min="2" max="76" man="1"/>
    <brk id="35" min="2" max="76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81"/>
  <sheetViews>
    <sheetView zoomScaleNormal="100" zoomScaleSheetLayoutView="70" workbookViewId="0">
      <pane xSplit="2" ySplit="6" topLeftCell="G7" activePane="bottomRight" state="frozen"/>
      <selection pane="topRight" activeCell="C1" sqref="C1"/>
      <selection pane="bottomLeft" activeCell="A7" sqref="A7"/>
      <selection pane="bottomRight" activeCell="Q86" sqref="Q86"/>
    </sheetView>
  </sheetViews>
  <sheetFormatPr defaultRowHeight="15"/>
  <cols>
    <col min="1" max="1" width="7.42578125" style="1292" customWidth="1"/>
    <col min="2" max="2" width="25.140625" style="1292" customWidth="1"/>
    <col min="3" max="3" width="12" style="1292" customWidth="1"/>
    <col min="4" max="4" width="8.28515625" style="1292" customWidth="1"/>
    <col min="5" max="5" width="8.85546875" style="1292" customWidth="1"/>
    <col min="6" max="6" width="7.28515625" style="1292" customWidth="1"/>
    <col min="7" max="12" width="9" style="1292" customWidth="1"/>
    <col min="13" max="19" width="9.5703125" style="1292" customWidth="1"/>
    <col min="20" max="31" width="9.28515625" style="1292" customWidth="1"/>
    <col min="32" max="32" width="11.7109375" style="1305" customWidth="1"/>
    <col min="33" max="36" width="9.28515625" style="1457" customWidth="1"/>
    <col min="37" max="37" width="11.5703125" style="1457" customWidth="1"/>
    <col min="38" max="38" width="11.85546875" style="1457" customWidth="1"/>
    <col min="39" max="52" width="11.85546875" style="1292" customWidth="1"/>
    <col min="53" max="53" width="43.5703125" style="1292" bestFit="1" customWidth="1"/>
    <col min="54" max="54" width="37.5703125" style="1292" bestFit="1" customWidth="1"/>
    <col min="55" max="55" width="40.42578125" style="1292" bestFit="1" customWidth="1"/>
    <col min="56" max="56" width="41" style="1292" bestFit="1" customWidth="1"/>
    <col min="57" max="16384" width="9.140625" style="1292"/>
  </cols>
  <sheetData>
    <row r="2" spans="1:38">
      <c r="A2" s="1454" t="s">
        <v>750</v>
      </c>
      <c r="B2" s="1454"/>
      <c r="C2" s="1454"/>
      <c r="D2" s="1454"/>
      <c r="E2" s="1454"/>
      <c r="F2" s="1454"/>
      <c r="G2" s="1455"/>
      <c r="H2" s="1455"/>
      <c r="I2" s="1455"/>
      <c r="J2" s="1455"/>
      <c r="K2" s="1455"/>
      <c r="L2" s="1455"/>
    </row>
    <row r="4" spans="1:38" ht="15" customHeight="1">
      <c r="A4" s="1851" t="s">
        <v>751</v>
      </c>
      <c r="B4" s="1851"/>
      <c r="C4" s="1293" t="s">
        <v>752</v>
      </c>
      <c r="D4" s="1852" t="s">
        <v>753</v>
      </c>
      <c r="E4" s="1853"/>
      <c r="F4" s="1854"/>
      <c r="G4" s="1853"/>
      <c r="H4" s="1853"/>
      <c r="I4" s="1853"/>
      <c r="J4" s="1853"/>
      <c r="K4" s="1853"/>
      <c r="L4" s="1853"/>
      <c r="M4" s="1853"/>
      <c r="N4" s="1853"/>
      <c r="O4" s="1855"/>
      <c r="P4" s="1856"/>
      <c r="Q4" s="1428" t="s">
        <v>754</v>
      </c>
      <c r="R4" s="1456"/>
      <c r="S4" s="1456"/>
      <c r="T4" s="1857" t="s">
        <v>755</v>
      </c>
      <c r="U4" s="1857"/>
      <c r="V4" s="1449"/>
      <c r="W4" s="1449"/>
      <c r="X4" s="1449"/>
      <c r="Y4" s="1449"/>
      <c r="Z4" s="1449"/>
      <c r="AA4" s="1449"/>
      <c r="AB4" s="1449"/>
      <c r="AC4" s="1449"/>
      <c r="AD4" s="1449"/>
      <c r="AE4" s="1449"/>
      <c r="AF4" s="1848" t="s">
        <v>756</v>
      </c>
      <c r="AG4" s="1458"/>
      <c r="AH4" s="1850"/>
      <c r="AI4" s="1850"/>
      <c r="AJ4" s="1850"/>
    </row>
    <row r="5" spans="1:38" ht="119.25" customHeight="1">
      <c r="A5" s="1426" t="s">
        <v>185</v>
      </c>
      <c r="B5" s="1426" t="s">
        <v>246</v>
      </c>
      <c r="C5" s="1427" t="s">
        <v>757</v>
      </c>
      <c r="D5" s="1429" t="s">
        <v>758</v>
      </c>
      <c r="E5" s="1429" t="s">
        <v>759</v>
      </c>
      <c r="F5" s="1429" t="s">
        <v>760</v>
      </c>
      <c r="G5" s="1430" t="s">
        <v>769</v>
      </c>
      <c r="H5" s="1430" t="s">
        <v>770</v>
      </c>
      <c r="I5" s="1430" t="s">
        <v>771</v>
      </c>
      <c r="J5" s="1430" t="s">
        <v>772</v>
      </c>
      <c r="K5" s="1430" t="s">
        <v>773</v>
      </c>
      <c r="L5" s="1430" t="s">
        <v>774</v>
      </c>
      <c r="M5" s="1430" t="s">
        <v>775</v>
      </c>
      <c r="N5" s="1430" t="s">
        <v>776</v>
      </c>
      <c r="O5" s="1430" t="s">
        <v>777</v>
      </c>
      <c r="P5" s="1430" t="s">
        <v>778</v>
      </c>
      <c r="Q5" s="1430" t="s">
        <v>960</v>
      </c>
      <c r="R5" s="1430" t="s">
        <v>877</v>
      </c>
      <c r="S5" s="1441" t="s">
        <v>961</v>
      </c>
      <c r="T5" s="1431" t="s">
        <v>781</v>
      </c>
      <c r="U5" s="1432" t="s">
        <v>782</v>
      </c>
      <c r="V5" s="1450" t="s">
        <v>761</v>
      </c>
      <c r="W5" s="1450" t="s">
        <v>762</v>
      </c>
      <c r="X5" s="1450" t="s">
        <v>763</v>
      </c>
      <c r="Y5" s="1450" t="s">
        <v>764</v>
      </c>
      <c r="Z5" s="1450" t="s">
        <v>765</v>
      </c>
      <c r="AA5" s="1450" t="s">
        <v>766</v>
      </c>
      <c r="AB5" s="1450" t="s">
        <v>767</v>
      </c>
      <c r="AC5" s="1450" t="s">
        <v>768</v>
      </c>
      <c r="AD5" s="1453" t="s">
        <v>779</v>
      </c>
      <c r="AE5" s="1453" t="s">
        <v>780</v>
      </c>
      <c r="AF5" s="1849"/>
      <c r="AG5" s="1459"/>
      <c r="AH5" s="1459"/>
      <c r="AI5" s="1459"/>
      <c r="AJ5" s="1459"/>
      <c r="AK5" s="1460"/>
    </row>
    <row r="6" spans="1:38" s="1435" customFormat="1" ht="12" customHeight="1">
      <c r="A6" s="1436"/>
      <c r="B6" s="1436"/>
      <c r="C6" s="1436"/>
      <c r="D6" s="1436">
        <v>1</v>
      </c>
      <c r="E6" s="1436">
        <f t="shared" ref="E6:P6" si="0">D6+1</f>
        <v>2</v>
      </c>
      <c r="F6" s="1436">
        <f t="shared" si="0"/>
        <v>3</v>
      </c>
      <c r="G6" s="1436">
        <f t="shared" ref="G6" si="1">F6+1</f>
        <v>4</v>
      </c>
      <c r="H6" s="1436">
        <f t="shared" ref="H6" si="2">G6+1</f>
        <v>5</v>
      </c>
      <c r="I6" s="1436">
        <f t="shared" si="0"/>
        <v>6</v>
      </c>
      <c r="J6" s="1436">
        <f t="shared" si="0"/>
        <v>7</v>
      </c>
      <c r="K6" s="1436">
        <f t="shared" si="0"/>
        <v>8</v>
      </c>
      <c r="L6" s="1436">
        <f t="shared" si="0"/>
        <v>9</v>
      </c>
      <c r="M6" s="1436">
        <f t="shared" si="0"/>
        <v>10</v>
      </c>
      <c r="N6" s="1436">
        <f t="shared" si="0"/>
        <v>11</v>
      </c>
      <c r="O6" s="1436">
        <f t="shared" si="0"/>
        <v>12</v>
      </c>
      <c r="P6" s="1436">
        <f t="shared" si="0"/>
        <v>13</v>
      </c>
      <c r="Q6" s="1436">
        <f t="shared" ref="Q6" si="3">P6+1</f>
        <v>14</v>
      </c>
      <c r="R6" s="1436">
        <f>Q6+1</f>
        <v>15</v>
      </c>
      <c r="S6" s="1436">
        <f t="shared" ref="S6" si="4">R6+1</f>
        <v>16</v>
      </c>
      <c r="T6" s="1436">
        <f t="shared" ref="T6" si="5">S6+1</f>
        <v>17</v>
      </c>
      <c r="U6" s="1436">
        <f t="shared" ref="U6" si="6">T6+1</f>
        <v>18</v>
      </c>
      <c r="V6" s="1436">
        <f t="shared" ref="V6" si="7">U6+1</f>
        <v>19</v>
      </c>
      <c r="W6" s="1436">
        <f t="shared" ref="W6" si="8">V6+1</f>
        <v>20</v>
      </c>
      <c r="X6" s="1436">
        <f t="shared" ref="X6" si="9">W6+1</f>
        <v>21</v>
      </c>
      <c r="Y6" s="1436">
        <f t="shared" ref="Y6" si="10">X6+1</f>
        <v>22</v>
      </c>
      <c r="Z6" s="1436">
        <f t="shared" ref="Z6" si="11">Y6+1</f>
        <v>23</v>
      </c>
      <c r="AA6" s="1436">
        <f t="shared" ref="AA6" si="12">Z6+1</f>
        <v>24</v>
      </c>
      <c r="AB6" s="1436">
        <f t="shared" ref="AB6" si="13">AA6+1</f>
        <v>25</v>
      </c>
      <c r="AC6" s="1436">
        <f t="shared" ref="AC6" si="14">AB6+1</f>
        <v>26</v>
      </c>
      <c r="AD6" s="1436">
        <f t="shared" ref="AD6" si="15">AC6+1</f>
        <v>27</v>
      </c>
      <c r="AE6" s="1436">
        <f t="shared" ref="AE6" si="16">AD6+1</f>
        <v>28</v>
      </c>
      <c r="AF6" s="1436">
        <f t="shared" ref="AF6" si="17">AE6+1</f>
        <v>29</v>
      </c>
      <c r="AG6" s="1461"/>
      <c r="AH6" s="1462"/>
      <c r="AI6" s="1462"/>
      <c r="AJ6" s="1462"/>
      <c r="AK6" s="1463"/>
      <c r="AL6" s="1464"/>
    </row>
    <row r="7" spans="1:38" ht="12.75" customHeight="1">
      <c r="A7" s="1433" t="s">
        <v>287</v>
      </c>
      <c r="B7" s="1433" t="s">
        <v>783</v>
      </c>
      <c r="C7" s="1437">
        <v>9557</v>
      </c>
      <c r="D7" s="1438"/>
      <c r="E7" s="1438"/>
      <c r="F7" s="1438"/>
      <c r="G7" s="1438"/>
      <c r="H7" s="1438"/>
      <c r="I7" s="1438"/>
      <c r="J7" s="1437">
        <v>14</v>
      </c>
      <c r="K7" s="1438"/>
      <c r="L7" s="1437">
        <v>18</v>
      </c>
      <c r="M7" s="1438"/>
      <c r="N7" s="1438"/>
      <c r="O7" s="1438"/>
      <c r="P7" s="1438"/>
      <c r="Q7" s="1438">
        <f t="shared" ref="Q7:Q38" si="18">SUM(C7:P7)</f>
        <v>9589</v>
      </c>
      <c r="R7" s="1438">
        <f>-'[22]Total_Scholarship Only_byLEA'!F16</f>
        <v>-3</v>
      </c>
      <c r="S7" s="1442">
        <f t="shared" ref="S7:S38" si="19">SUM(Q7:R7)</f>
        <v>9586</v>
      </c>
      <c r="T7" s="1434"/>
      <c r="U7" s="1434"/>
      <c r="V7" s="1451"/>
      <c r="W7" s="1451"/>
      <c r="X7" s="1451"/>
      <c r="Y7" s="1451"/>
      <c r="Z7" s="1451"/>
      <c r="AA7" s="1451"/>
      <c r="AB7" s="1451"/>
      <c r="AC7" s="1451"/>
      <c r="AD7" s="1452">
        <v>5</v>
      </c>
      <c r="AE7" s="1451"/>
      <c r="AF7" s="1447">
        <f>SUM(S7:AE7)</f>
        <v>9591</v>
      </c>
      <c r="AG7" s="1465"/>
      <c r="AH7" s="1466"/>
      <c r="AI7" s="1466"/>
      <c r="AJ7" s="1466"/>
      <c r="AK7" s="1467"/>
    </row>
    <row r="8" spans="1:38" ht="12.75" customHeight="1">
      <c r="A8" s="1294" t="s">
        <v>784</v>
      </c>
      <c r="B8" s="1294" t="s">
        <v>785</v>
      </c>
      <c r="C8" s="1439">
        <v>4077</v>
      </c>
      <c r="D8" s="1440"/>
      <c r="E8" s="1440"/>
      <c r="F8" s="1440"/>
      <c r="G8" s="1440"/>
      <c r="H8" s="1440"/>
      <c r="I8" s="1440"/>
      <c r="J8" s="1439">
        <v>4</v>
      </c>
      <c r="K8" s="1440"/>
      <c r="L8" s="1439">
        <v>2</v>
      </c>
      <c r="M8" s="1440"/>
      <c r="N8" s="1440"/>
      <c r="O8" s="1440"/>
      <c r="P8" s="1440"/>
      <c r="Q8" s="1440">
        <f t="shared" si="18"/>
        <v>4083</v>
      </c>
      <c r="R8" s="1440">
        <f>-'[22]Total_Scholarship Only_byLEA'!F17</f>
        <v>0</v>
      </c>
      <c r="S8" s="1443">
        <f t="shared" si="19"/>
        <v>4083</v>
      </c>
      <c r="T8" s="1295"/>
      <c r="U8" s="1295"/>
      <c r="V8" s="1451"/>
      <c r="W8" s="1451"/>
      <c r="X8" s="1451"/>
      <c r="Y8" s="1451"/>
      <c r="Z8" s="1451"/>
      <c r="AA8" s="1451"/>
      <c r="AB8" s="1451"/>
      <c r="AC8" s="1451"/>
      <c r="AD8" s="1451"/>
      <c r="AE8" s="1451"/>
      <c r="AF8" s="1447">
        <f t="shared" ref="AF8:AF71" si="20">SUM(S8:AE8)</f>
        <v>4083</v>
      </c>
      <c r="AG8" s="1465"/>
      <c r="AH8" s="1466"/>
      <c r="AI8" s="1466"/>
      <c r="AJ8" s="1466"/>
      <c r="AK8" s="1467"/>
    </row>
    <row r="9" spans="1:38" ht="12.75" customHeight="1">
      <c r="A9" s="1294" t="s">
        <v>288</v>
      </c>
      <c r="B9" s="1294" t="s">
        <v>786</v>
      </c>
      <c r="C9" s="1439">
        <v>20588</v>
      </c>
      <c r="D9" s="1440"/>
      <c r="E9" s="1440"/>
      <c r="F9" s="1440"/>
      <c r="G9" s="1440"/>
      <c r="H9" s="1440"/>
      <c r="I9" s="1440"/>
      <c r="J9" s="1439">
        <v>40</v>
      </c>
      <c r="K9" s="1440"/>
      <c r="L9" s="1439">
        <v>27</v>
      </c>
      <c r="M9" s="1440"/>
      <c r="N9" s="1440"/>
      <c r="O9" s="1440"/>
      <c r="P9" s="1440"/>
      <c r="Q9" s="1440">
        <f t="shared" si="18"/>
        <v>20655</v>
      </c>
      <c r="R9" s="1440">
        <f>-'[22]Total_Scholarship Only_byLEA'!F18</f>
        <v>-63</v>
      </c>
      <c r="S9" s="1443">
        <f t="shared" si="19"/>
        <v>20592</v>
      </c>
      <c r="T9" s="1295"/>
      <c r="U9" s="1295"/>
      <c r="V9" s="1451"/>
      <c r="W9" s="1451"/>
      <c r="X9" s="1451"/>
      <c r="Y9" s="1451"/>
      <c r="Z9" s="1451"/>
      <c r="AA9" s="1451"/>
      <c r="AB9" s="1451"/>
      <c r="AC9" s="1452">
        <v>1</v>
      </c>
      <c r="AD9" s="1452">
        <v>18</v>
      </c>
      <c r="AE9" s="1452">
        <v>1</v>
      </c>
      <c r="AF9" s="1447">
        <f t="shared" si="20"/>
        <v>20612</v>
      </c>
      <c r="AG9" s="1465"/>
      <c r="AH9" s="1466"/>
      <c r="AI9" s="1466"/>
      <c r="AJ9" s="1466"/>
      <c r="AK9" s="1467"/>
    </row>
    <row r="10" spans="1:38" ht="12.75" customHeight="1">
      <c r="A10" s="1294" t="s">
        <v>289</v>
      </c>
      <c r="B10" s="1294" t="s">
        <v>787</v>
      </c>
      <c r="C10" s="1439">
        <v>3555</v>
      </c>
      <c r="D10" s="1440"/>
      <c r="E10" s="1440"/>
      <c r="F10" s="1440"/>
      <c r="G10" s="1440"/>
      <c r="H10" s="1440"/>
      <c r="I10" s="1440"/>
      <c r="J10" s="1439">
        <v>3</v>
      </c>
      <c r="K10" s="1440"/>
      <c r="L10" s="1439">
        <v>3</v>
      </c>
      <c r="M10" s="1440"/>
      <c r="N10" s="1440"/>
      <c r="O10" s="1440"/>
      <c r="P10" s="1440"/>
      <c r="Q10" s="1440">
        <f t="shared" si="18"/>
        <v>3561</v>
      </c>
      <c r="R10" s="1440">
        <f>-'[22]Total_Scholarship Only_byLEA'!F19</f>
        <v>-10</v>
      </c>
      <c r="S10" s="1443">
        <f t="shared" si="19"/>
        <v>3551</v>
      </c>
      <c r="T10" s="1295"/>
      <c r="U10" s="1295"/>
      <c r="V10" s="1451"/>
      <c r="W10" s="1451"/>
      <c r="X10" s="1451"/>
      <c r="Y10" s="1451"/>
      <c r="Z10" s="1451"/>
      <c r="AA10" s="1451"/>
      <c r="AB10" s="1451"/>
      <c r="AC10" s="1452">
        <v>2</v>
      </c>
      <c r="AD10" s="1451"/>
      <c r="AE10" s="1451"/>
      <c r="AF10" s="1447">
        <f t="shared" si="20"/>
        <v>3553</v>
      </c>
      <c r="AG10" s="1465"/>
      <c r="AH10" s="1466"/>
      <c r="AI10" s="1466"/>
      <c r="AJ10" s="1466"/>
      <c r="AK10" s="1467"/>
    </row>
    <row r="11" spans="1:38" ht="12.75" customHeight="1">
      <c r="A11" s="1294" t="s">
        <v>788</v>
      </c>
      <c r="B11" s="1294" t="s">
        <v>789</v>
      </c>
      <c r="C11" s="1439">
        <v>5723</v>
      </c>
      <c r="D11" s="1440"/>
      <c r="E11" s="1440"/>
      <c r="F11" s="1440"/>
      <c r="G11" s="1440"/>
      <c r="H11" s="1440"/>
      <c r="I11" s="1440"/>
      <c r="J11" s="1439">
        <v>20</v>
      </c>
      <c r="K11" s="1440"/>
      <c r="L11" s="1439">
        <v>14</v>
      </c>
      <c r="M11" s="1440"/>
      <c r="N11" s="1440"/>
      <c r="O11" s="1440"/>
      <c r="P11" s="1440"/>
      <c r="Q11" s="1440">
        <f t="shared" si="18"/>
        <v>5757</v>
      </c>
      <c r="R11" s="1440">
        <f>-'[22]Total_Scholarship Only_byLEA'!F20</f>
        <v>0</v>
      </c>
      <c r="S11" s="1443">
        <f t="shared" si="19"/>
        <v>5757</v>
      </c>
      <c r="T11" s="1295"/>
      <c r="U11" s="1295"/>
      <c r="V11" s="1451"/>
      <c r="W11" s="1451"/>
      <c r="X11" s="1451"/>
      <c r="Y11" s="1452">
        <v>687</v>
      </c>
      <c r="Z11" s="1451"/>
      <c r="AA11" s="1451"/>
      <c r="AB11" s="1451"/>
      <c r="AC11" s="1451"/>
      <c r="AD11" s="1452">
        <v>1</v>
      </c>
      <c r="AE11" s="1451"/>
      <c r="AF11" s="1447">
        <f t="shared" si="20"/>
        <v>6445</v>
      </c>
      <c r="AG11" s="1465"/>
      <c r="AH11" s="1466"/>
      <c r="AI11" s="1468"/>
      <c r="AJ11" s="1468"/>
      <c r="AK11" s="1467"/>
    </row>
    <row r="12" spans="1:38" ht="12.75" customHeight="1">
      <c r="A12" s="1294" t="s">
        <v>290</v>
      </c>
      <c r="B12" s="1294" t="s">
        <v>790</v>
      </c>
      <c r="C12" s="1439">
        <v>6018</v>
      </c>
      <c r="D12" s="1440"/>
      <c r="E12" s="1440"/>
      <c r="F12" s="1440"/>
      <c r="G12" s="1440"/>
      <c r="H12" s="1440"/>
      <c r="I12" s="1440"/>
      <c r="J12" s="1439">
        <v>17</v>
      </c>
      <c r="K12" s="1440"/>
      <c r="L12" s="1439">
        <v>22</v>
      </c>
      <c r="M12" s="1440"/>
      <c r="N12" s="1440"/>
      <c r="O12" s="1440"/>
      <c r="P12" s="1440"/>
      <c r="Q12" s="1440">
        <f t="shared" si="18"/>
        <v>6057</v>
      </c>
      <c r="R12" s="1440">
        <f>-'[22]Total_Scholarship Only_byLEA'!F21</f>
        <v>0</v>
      </c>
      <c r="S12" s="1443">
        <f t="shared" si="19"/>
        <v>6057</v>
      </c>
      <c r="T12" s="1295"/>
      <c r="U12" s="1295"/>
      <c r="V12" s="1451"/>
      <c r="W12" s="1451"/>
      <c r="X12" s="1451"/>
      <c r="Y12" s="1451"/>
      <c r="Z12" s="1451"/>
      <c r="AA12" s="1451"/>
      <c r="AB12" s="1451"/>
      <c r="AC12" s="1451"/>
      <c r="AD12" s="1452">
        <v>6</v>
      </c>
      <c r="AE12" s="1451"/>
      <c r="AF12" s="1447">
        <f t="shared" si="20"/>
        <v>6063</v>
      </c>
      <c r="AG12" s="1465"/>
      <c r="AH12" s="1466"/>
      <c r="AI12" s="1466"/>
      <c r="AJ12" s="1466"/>
      <c r="AK12" s="1467"/>
    </row>
    <row r="13" spans="1:38" ht="12.75" customHeight="1">
      <c r="A13" s="1294" t="s">
        <v>291</v>
      </c>
      <c r="B13" s="1294" t="s">
        <v>791</v>
      </c>
      <c r="C13" s="1439">
        <v>2198</v>
      </c>
      <c r="D13" s="1440"/>
      <c r="E13" s="1440"/>
      <c r="F13" s="1440"/>
      <c r="G13" s="1440"/>
      <c r="H13" s="1440"/>
      <c r="I13" s="1440"/>
      <c r="J13" s="1439">
        <v>4</v>
      </c>
      <c r="K13" s="1440"/>
      <c r="L13" s="1439">
        <v>8</v>
      </c>
      <c r="M13" s="1440"/>
      <c r="N13" s="1440"/>
      <c r="O13" s="1440"/>
      <c r="P13" s="1440"/>
      <c r="Q13" s="1440">
        <f t="shared" si="18"/>
        <v>2210</v>
      </c>
      <c r="R13" s="1440">
        <f>-'[22]Total_Scholarship Only_byLEA'!F22</f>
        <v>-7</v>
      </c>
      <c r="S13" s="1443">
        <f t="shared" si="19"/>
        <v>2203</v>
      </c>
      <c r="T13" s="1295"/>
      <c r="U13" s="1295"/>
      <c r="V13" s="1451"/>
      <c r="W13" s="1451"/>
      <c r="X13" s="1451"/>
      <c r="Y13" s="1451"/>
      <c r="Z13" s="1451"/>
      <c r="AA13" s="1451"/>
      <c r="AB13" s="1451"/>
      <c r="AC13" s="1451"/>
      <c r="AD13" s="1451"/>
      <c r="AE13" s="1451"/>
      <c r="AF13" s="1447">
        <f t="shared" si="20"/>
        <v>2203</v>
      </c>
      <c r="AG13" s="1465"/>
      <c r="AH13" s="1466"/>
      <c r="AI13" s="1466"/>
      <c r="AJ13" s="1466"/>
      <c r="AK13" s="1467"/>
    </row>
    <row r="14" spans="1:38" ht="12.75" customHeight="1">
      <c r="A14" s="1294" t="s">
        <v>292</v>
      </c>
      <c r="B14" s="1294" t="s">
        <v>792</v>
      </c>
      <c r="C14" s="1439">
        <v>21112</v>
      </c>
      <c r="D14" s="1440"/>
      <c r="E14" s="1440"/>
      <c r="F14" s="1440"/>
      <c r="G14" s="1440"/>
      <c r="H14" s="1440"/>
      <c r="I14" s="1440"/>
      <c r="J14" s="1439">
        <v>35</v>
      </c>
      <c r="K14" s="1440"/>
      <c r="L14" s="1439">
        <v>45</v>
      </c>
      <c r="M14" s="1440"/>
      <c r="N14" s="1440"/>
      <c r="O14" s="1440"/>
      <c r="P14" s="1440"/>
      <c r="Q14" s="1440">
        <f t="shared" si="18"/>
        <v>21192</v>
      </c>
      <c r="R14" s="1440">
        <f>-'[22]Total_Scholarship Only_byLEA'!F23</f>
        <v>-2</v>
      </c>
      <c r="S14" s="1443">
        <f t="shared" si="19"/>
        <v>21190</v>
      </c>
      <c r="T14" s="1295"/>
      <c r="U14" s="1295"/>
      <c r="V14" s="1451"/>
      <c r="W14" s="1451"/>
      <c r="X14" s="1451"/>
      <c r="Y14" s="1451"/>
      <c r="Z14" s="1451"/>
      <c r="AA14" s="1451"/>
      <c r="AB14" s="1451"/>
      <c r="AC14" s="1451"/>
      <c r="AD14" s="1452">
        <v>12</v>
      </c>
      <c r="AE14" s="1451"/>
      <c r="AF14" s="1447">
        <f t="shared" si="20"/>
        <v>21202</v>
      </c>
      <c r="AG14" s="1465"/>
      <c r="AH14" s="1466"/>
      <c r="AI14" s="1466"/>
      <c r="AJ14" s="1468"/>
      <c r="AK14" s="1467"/>
    </row>
    <row r="15" spans="1:38" ht="12.75" customHeight="1">
      <c r="A15" s="1294" t="s">
        <v>293</v>
      </c>
      <c r="B15" s="1294" t="s">
        <v>793</v>
      </c>
      <c r="C15" s="1439">
        <v>40150</v>
      </c>
      <c r="D15" s="1439">
        <v>508</v>
      </c>
      <c r="E15" s="1440"/>
      <c r="F15" s="1439">
        <v>147</v>
      </c>
      <c r="G15" s="1440"/>
      <c r="H15" s="1440"/>
      <c r="I15" s="1440"/>
      <c r="J15" s="1439">
        <v>87</v>
      </c>
      <c r="K15" s="1440"/>
      <c r="L15" s="1439">
        <v>65</v>
      </c>
      <c r="M15" s="1440"/>
      <c r="N15" s="1440"/>
      <c r="O15" s="1440"/>
      <c r="P15" s="1440"/>
      <c r="Q15" s="1440">
        <f t="shared" si="18"/>
        <v>40957</v>
      </c>
      <c r="R15" s="1440">
        <f>-'[22]Total_Scholarship Only_byLEA'!F24</f>
        <v>-81</v>
      </c>
      <c r="S15" s="1443">
        <f t="shared" si="19"/>
        <v>40876</v>
      </c>
      <c r="T15" s="1295"/>
      <c r="U15" s="1295"/>
      <c r="V15" s="1451"/>
      <c r="W15" s="1451"/>
      <c r="X15" s="1451"/>
      <c r="Y15" s="1451"/>
      <c r="Z15" s="1451"/>
      <c r="AA15" s="1451"/>
      <c r="AB15" s="1451"/>
      <c r="AC15" s="1451"/>
      <c r="AD15" s="1452">
        <v>4</v>
      </c>
      <c r="AE15" s="1451"/>
      <c r="AF15" s="1447">
        <f t="shared" si="20"/>
        <v>40880</v>
      </c>
      <c r="AG15" s="1465"/>
      <c r="AH15" s="1468"/>
      <c r="AI15" s="1466"/>
      <c r="AJ15" s="1468"/>
      <c r="AK15" s="1467"/>
    </row>
    <row r="16" spans="1:38" ht="12.75" customHeight="1">
      <c r="A16" s="1294" t="s">
        <v>294</v>
      </c>
      <c r="B16" s="1294" t="s">
        <v>794</v>
      </c>
      <c r="C16" s="1439">
        <v>30680</v>
      </c>
      <c r="D16" s="1440"/>
      <c r="E16" s="1440"/>
      <c r="F16" s="1440"/>
      <c r="G16" s="1439">
        <v>523</v>
      </c>
      <c r="H16" s="1440"/>
      <c r="I16" s="1440"/>
      <c r="J16" s="1439">
        <v>57</v>
      </c>
      <c r="K16" s="1440"/>
      <c r="L16" s="1439">
        <v>53</v>
      </c>
      <c r="M16" s="1439">
        <v>755</v>
      </c>
      <c r="N16" s="1440"/>
      <c r="O16" s="1440"/>
      <c r="P16" s="1440"/>
      <c r="Q16" s="1440">
        <f t="shared" si="18"/>
        <v>32068</v>
      </c>
      <c r="R16" s="1440">
        <f>-'[22]Total_Scholarship Only_byLEA'!F25</f>
        <v>-22</v>
      </c>
      <c r="S16" s="1443">
        <f t="shared" si="19"/>
        <v>32046</v>
      </c>
      <c r="T16" s="1295"/>
      <c r="U16" s="1295"/>
      <c r="V16" s="1451"/>
      <c r="W16" s="1451"/>
      <c r="X16" s="1451"/>
      <c r="Y16" s="1451"/>
      <c r="Z16" s="1451"/>
      <c r="AA16" s="1451"/>
      <c r="AB16" s="1451"/>
      <c r="AC16" s="1451"/>
      <c r="AD16" s="1452">
        <v>12</v>
      </c>
      <c r="AE16" s="1451"/>
      <c r="AF16" s="1447">
        <f t="shared" si="20"/>
        <v>32058</v>
      </c>
      <c r="AG16" s="1465"/>
      <c r="AH16" s="1468"/>
      <c r="AI16" s="1468"/>
      <c r="AJ16" s="1468"/>
      <c r="AK16" s="1467"/>
    </row>
    <row r="17" spans="1:37" ht="12.75" customHeight="1">
      <c r="A17" s="1294" t="s">
        <v>295</v>
      </c>
      <c r="B17" s="1294" t="s">
        <v>795</v>
      </c>
      <c r="C17" s="1439">
        <v>1555</v>
      </c>
      <c r="D17" s="1440"/>
      <c r="E17" s="1440"/>
      <c r="F17" s="1440"/>
      <c r="G17" s="1440"/>
      <c r="H17" s="1440"/>
      <c r="I17" s="1440"/>
      <c r="J17" s="1439">
        <v>7</v>
      </c>
      <c r="K17" s="1440"/>
      <c r="L17" s="1439">
        <v>2</v>
      </c>
      <c r="M17" s="1440"/>
      <c r="N17" s="1440"/>
      <c r="O17" s="1440"/>
      <c r="P17" s="1440"/>
      <c r="Q17" s="1440">
        <f t="shared" si="18"/>
        <v>1564</v>
      </c>
      <c r="R17" s="1440">
        <f>-'[22]Total_Scholarship Only_byLEA'!F26</f>
        <v>-12</v>
      </c>
      <c r="S17" s="1443">
        <f t="shared" si="19"/>
        <v>1552</v>
      </c>
      <c r="T17" s="1295"/>
      <c r="U17" s="1295"/>
      <c r="V17" s="1451"/>
      <c r="W17" s="1451"/>
      <c r="X17" s="1451"/>
      <c r="Y17" s="1451"/>
      <c r="Z17" s="1451"/>
      <c r="AA17" s="1451"/>
      <c r="AB17" s="1451"/>
      <c r="AC17" s="1451"/>
      <c r="AD17" s="1452">
        <v>2</v>
      </c>
      <c r="AE17" s="1451"/>
      <c r="AF17" s="1447">
        <f t="shared" si="20"/>
        <v>1554</v>
      </c>
      <c r="AG17" s="1465"/>
      <c r="AH17" s="1466"/>
      <c r="AI17" s="1466"/>
      <c r="AJ17" s="1466"/>
      <c r="AK17" s="1467"/>
    </row>
    <row r="18" spans="1:37" ht="12.75" customHeight="1">
      <c r="A18" s="1294" t="s">
        <v>796</v>
      </c>
      <c r="B18" s="1294" t="s">
        <v>797</v>
      </c>
      <c r="C18" s="1439">
        <v>1212</v>
      </c>
      <c r="D18" s="1440"/>
      <c r="E18" s="1440"/>
      <c r="F18" s="1440"/>
      <c r="G18" s="1440"/>
      <c r="H18" s="1440"/>
      <c r="I18" s="1440"/>
      <c r="J18" s="1440"/>
      <c r="K18" s="1440"/>
      <c r="L18" s="1439">
        <v>1</v>
      </c>
      <c r="M18" s="1440"/>
      <c r="N18" s="1440"/>
      <c r="O18" s="1440"/>
      <c r="P18" s="1440"/>
      <c r="Q18" s="1440">
        <f t="shared" si="18"/>
        <v>1213</v>
      </c>
      <c r="R18" s="1440">
        <f>-'[22]Total_Scholarship Only_byLEA'!F27</f>
        <v>0</v>
      </c>
      <c r="S18" s="1443">
        <f t="shared" si="19"/>
        <v>1213</v>
      </c>
      <c r="T18" s="1295"/>
      <c r="U18" s="1295"/>
      <c r="V18" s="1451"/>
      <c r="W18" s="1451"/>
      <c r="X18" s="1451"/>
      <c r="Y18" s="1451"/>
      <c r="Z18" s="1451"/>
      <c r="AA18" s="1451"/>
      <c r="AB18" s="1451"/>
      <c r="AC18" s="1451"/>
      <c r="AD18" s="1451"/>
      <c r="AE18" s="1451"/>
      <c r="AF18" s="1447">
        <f t="shared" si="20"/>
        <v>1213</v>
      </c>
      <c r="AG18" s="1465"/>
      <c r="AH18" s="1466"/>
      <c r="AI18" s="1466"/>
      <c r="AJ18" s="1466"/>
      <c r="AK18" s="1467"/>
    </row>
    <row r="19" spans="1:37" ht="12.75" customHeight="1">
      <c r="A19" s="1294" t="s">
        <v>798</v>
      </c>
      <c r="B19" s="1294" t="s">
        <v>799</v>
      </c>
      <c r="C19" s="1439">
        <v>1503</v>
      </c>
      <c r="D19" s="1440"/>
      <c r="E19" s="1440"/>
      <c r="F19" s="1440"/>
      <c r="G19" s="1440"/>
      <c r="H19" s="1440"/>
      <c r="I19" s="1440"/>
      <c r="J19" s="1439">
        <v>10</v>
      </c>
      <c r="K19" s="1440"/>
      <c r="L19" s="1439">
        <v>3</v>
      </c>
      <c r="M19" s="1440"/>
      <c r="N19" s="1440"/>
      <c r="O19" s="1440"/>
      <c r="P19" s="1440"/>
      <c r="Q19" s="1440">
        <f t="shared" si="18"/>
        <v>1516</v>
      </c>
      <c r="R19" s="1440">
        <f>-'[22]Total_Scholarship Only_byLEA'!F28</f>
        <v>0</v>
      </c>
      <c r="S19" s="1443">
        <f t="shared" si="19"/>
        <v>1516</v>
      </c>
      <c r="T19" s="1295"/>
      <c r="U19" s="1295"/>
      <c r="V19" s="1451"/>
      <c r="W19" s="1451"/>
      <c r="X19" s="1451"/>
      <c r="Y19" s="1451"/>
      <c r="Z19" s="1451"/>
      <c r="AA19" s="1451"/>
      <c r="AB19" s="1451"/>
      <c r="AC19" s="1451"/>
      <c r="AD19" s="1451"/>
      <c r="AE19" s="1451"/>
      <c r="AF19" s="1447">
        <f t="shared" si="20"/>
        <v>1516</v>
      </c>
      <c r="AG19" s="1465"/>
      <c r="AH19" s="1466"/>
      <c r="AI19" s="1466"/>
      <c r="AJ19" s="1466"/>
      <c r="AK19" s="1467"/>
    </row>
    <row r="20" spans="1:37" ht="12.75" customHeight="1">
      <c r="A20" s="1294" t="s">
        <v>800</v>
      </c>
      <c r="B20" s="1294" t="s">
        <v>801</v>
      </c>
      <c r="C20" s="1439">
        <v>1856</v>
      </c>
      <c r="D20" s="1440"/>
      <c r="E20" s="1440"/>
      <c r="F20" s="1440"/>
      <c r="G20" s="1440"/>
      <c r="H20" s="1439">
        <v>2</v>
      </c>
      <c r="I20" s="1440"/>
      <c r="J20" s="1439">
        <v>1</v>
      </c>
      <c r="K20" s="1440"/>
      <c r="L20" s="1439">
        <v>11</v>
      </c>
      <c r="M20" s="1440"/>
      <c r="N20" s="1440"/>
      <c r="O20" s="1440"/>
      <c r="P20" s="1440"/>
      <c r="Q20" s="1440">
        <f t="shared" si="18"/>
        <v>1870</v>
      </c>
      <c r="R20" s="1440">
        <f>-'[22]Total_Scholarship Only_byLEA'!F29</f>
        <v>0</v>
      </c>
      <c r="S20" s="1443">
        <f t="shared" si="19"/>
        <v>1870</v>
      </c>
      <c r="T20" s="1295"/>
      <c r="U20" s="1295"/>
      <c r="V20" s="1451"/>
      <c r="W20" s="1451"/>
      <c r="X20" s="1451"/>
      <c r="Y20" s="1451"/>
      <c r="Z20" s="1451"/>
      <c r="AA20" s="1451"/>
      <c r="AB20" s="1451"/>
      <c r="AC20" s="1451"/>
      <c r="AD20" s="1452">
        <v>1</v>
      </c>
      <c r="AE20" s="1451"/>
      <c r="AF20" s="1447">
        <f t="shared" si="20"/>
        <v>1871</v>
      </c>
      <c r="AG20" s="1465"/>
      <c r="AH20" s="1466"/>
      <c r="AI20" s="1466"/>
      <c r="AJ20" s="1466"/>
      <c r="AK20" s="1467"/>
    </row>
    <row r="21" spans="1:37" ht="12.75" customHeight="1">
      <c r="A21" s="1294" t="s">
        <v>802</v>
      </c>
      <c r="B21" s="1294" t="s">
        <v>803</v>
      </c>
      <c r="C21" s="1439">
        <v>3620</v>
      </c>
      <c r="D21" s="1440"/>
      <c r="E21" s="1440"/>
      <c r="F21" s="1440"/>
      <c r="G21" s="1440"/>
      <c r="H21" s="1440"/>
      <c r="I21" s="1440"/>
      <c r="J21" s="1439">
        <v>4</v>
      </c>
      <c r="K21" s="1440"/>
      <c r="L21" s="1439">
        <v>3</v>
      </c>
      <c r="M21" s="1440"/>
      <c r="N21" s="1440"/>
      <c r="O21" s="1440"/>
      <c r="P21" s="1440"/>
      <c r="Q21" s="1440">
        <f t="shared" si="18"/>
        <v>3627</v>
      </c>
      <c r="R21" s="1440">
        <f>-'[22]Total_Scholarship Only_byLEA'!F30</f>
        <v>0</v>
      </c>
      <c r="S21" s="1443">
        <f t="shared" si="19"/>
        <v>3627</v>
      </c>
      <c r="T21" s="1295"/>
      <c r="U21" s="1295"/>
      <c r="V21" s="1451"/>
      <c r="W21" s="1451"/>
      <c r="X21" s="1451"/>
      <c r="Y21" s="1451"/>
      <c r="Z21" s="1451"/>
      <c r="AA21" s="1451"/>
      <c r="AB21" s="1451"/>
      <c r="AC21" s="1451"/>
      <c r="AD21" s="1452">
        <v>1</v>
      </c>
      <c r="AE21" s="1451"/>
      <c r="AF21" s="1447">
        <f t="shared" si="20"/>
        <v>3628</v>
      </c>
      <c r="AG21" s="1465"/>
      <c r="AH21" s="1466"/>
      <c r="AI21" s="1466"/>
      <c r="AJ21" s="1468"/>
      <c r="AK21" s="1467"/>
    </row>
    <row r="22" spans="1:37" ht="12.75" customHeight="1">
      <c r="A22" s="1294" t="s">
        <v>804</v>
      </c>
      <c r="B22" s="1294" t="s">
        <v>805</v>
      </c>
      <c r="C22" s="1439">
        <v>4937</v>
      </c>
      <c r="D22" s="1440"/>
      <c r="E22" s="1440"/>
      <c r="F22" s="1440"/>
      <c r="G22" s="1440"/>
      <c r="H22" s="1440"/>
      <c r="I22" s="1440"/>
      <c r="J22" s="1439">
        <v>11</v>
      </c>
      <c r="K22" s="1440"/>
      <c r="L22" s="1439">
        <v>6</v>
      </c>
      <c r="M22" s="1440"/>
      <c r="N22" s="1440"/>
      <c r="O22" s="1440"/>
      <c r="P22" s="1440"/>
      <c r="Q22" s="1440">
        <f t="shared" si="18"/>
        <v>4954</v>
      </c>
      <c r="R22" s="1440">
        <f>-'[22]Total_Scholarship Only_byLEA'!F31</f>
        <v>0</v>
      </c>
      <c r="S22" s="1443">
        <f t="shared" si="19"/>
        <v>4954</v>
      </c>
      <c r="T22" s="1295"/>
      <c r="U22" s="1295"/>
      <c r="V22" s="1451"/>
      <c r="W22" s="1451"/>
      <c r="X22" s="1451"/>
      <c r="Y22" s="1451"/>
      <c r="Z22" s="1451"/>
      <c r="AA22" s="1451"/>
      <c r="AB22" s="1451"/>
      <c r="AC22" s="1451"/>
      <c r="AD22" s="1451"/>
      <c r="AE22" s="1451"/>
      <c r="AF22" s="1447">
        <f t="shared" si="20"/>
        <v>4954</v>
      </c>
      <c r="AG22" s="1465"/>
      <c r="AH22" s="1466"/>
      <c r="AI22" s="1468"/>
      <c r="AJ22" s="1466"/>
      <c r="AK22" s="1467"/>
    </row>
    <row r="23" spans="1:37" ht="12.75" customHeight="1">
      <c r="A23" s="1294" t="s">
        <v>296</v>
      </c>
      <c r="B23" s="1294" t="s">
        <v>806</v>
      </c>
      <c r="C23" s="1439">
        <v>41055</v>
      </c>
      <c r="D23" s="1439">
        <v>497</v>
      </c>
      <c r="E23" s="1440"/>
      <c r="F23" s="1439">
        <v>1751</v>
      </c>
      <c r="G23" s="1440"/>
      <c r="H23" s="1440"/>
      <c r="I23" s="1439">
        <v>206</v>
      </c>
      <c r="J23" s="1439">
        <v>69</v>
      </c>
      <c r="K23" s="1440"/>
      <c r="L23" s="1439">
        <v>76</v>
      </c>
      <c r="M23" s="1440"/>
      <c r="N23" s="1440"/>
      <c r="O23" s="1440"/>
      <c r="P23" s="1440"/>
      <c r="Q23" s="1440">
        <f t="shared" si="18"/>
        <v>43654</v>
      </c>
      <c r="R23" s="1440">
        <f>-'[22]Total_Scholarship Only_byLEA'!F32</f>
        <v>-628</v>
      </c>
      <c r="S23" s="1443">
        <f t="shared" si="19"/>
        <v>43026</v>
      </c>
      <c r="T23" s="1296">
        <v>1376</v>
      </c>
      <c r="U23" s="1296">
        <v>391</v>
      </c>
      <c r="V23" s="1451"/>
      <c r="W23" s="1451"/>
      <c r="X23" s="1451"/>
      <c r="Y23" s="1451"/>
      <c r="Z23" s="1451"/>
      <c r="AA23" s="1451"/>
      <c r="AB23" s="1451"/>
      <c r="AC23" s="1451"/>
      <c r="AD23" s="1452">
        <v>27</v>
      </c>
      <c r="AE23" s="1451"/>
      <c r="AF23" s="1447">
        <f t="shared" si="20"/>
        <v>44820</v>
      </c>
      <c r="AG23" s="1465"/>
      <c r="AH23" s="1468"/>
      <c r="AI23" s="1468"/>
      <c r="AJ23" s="1468"/>
      <c r="AK23" s="1467"/>
    </row>
    <row r="24" spans="1:37" ht="12.75" customHeight="1">
      <c r="A24" s="1294" t="s">
        <v>807</v>
      </c>
      <c r="B24" s="1294" t="s">
        <v>808</v>
      </c>
      <c r="C24" s="1439">
        <v>1113</v>
      </c>
      <c r="D24" s="1440"/>
      <c r="E24" s="1440"/>
      <c r="F24" s="1440"/>
      <c r="G24" s="1440"/>
      <c r="H24" s="1440"/>
      <c r="I24" s="1440"/>
      <c r="J24" s="1439">
        <v>1</v>
      </c>
      <c r="K24" s="1440"/>
      <c r="L24" s="1440"/>
      <c r="M24" s="1440"/>
      <c r="N24" s="1440"/>
      <c r="O24" s="1440"/>
      <c r="P24" s="1440"/>
      <c r="Q24" s="1440">
        <f t="shared" si="18"/>
        <v>1114</v>
      </c>
      <c r="R24" s="1440">
        <f>-'[22]Total_Scholarship Only_byLEA'!F33</f>
        <v>0</v>
      </c>
      <c r="S24" s="1443">
        <f t="shared" si="19"/>
        <v>1114</v>
      </c>
      <c r="T24" s="1295"/>
      <c r="U24" s="1295"/>
      <c r="V24" s="1451"/>
      <c r="W24" s="1451"/>
      <c r="X24" s="1451"/>
      <c r="Y24" s="1451"/>
      <c r="Z24" s="1452">
        <v>7</v>
      </c>
      <c r="AA24" s="1451"/>
      <c r="AB24" s="1451"/>
      <c r="AC24" s="1451"/>
      <c r="AD24" s="1451"/>
      <c r="AE24" s="1451"/>
      <c r="AF24" s="1447">
        <f t="shared" si="20"/>
        <v>1121</v>
      </c>
      <c r="AG24" s="1465"/>
      <c r="AH24" s="1466"/>
      <c r="AI24" s="1466"/>
      <c r="AJ24" s="1466"/>
      <c r="AK24" s="1467"/>
    </row>
    <row r="25" spans="1:37" ht="12.75" customHeight="1">
      <c r="A25" s="1294" t="s">
        <v>297</v>
      </c>
      <c r="B25" s="1294" t="s">
        <v>809</v>
      </c>
      <c r="C25" s="1439">
        <v>1907</v>
      </c>
      <c r="D25" s="1440"/>
      <c r="E25" s="1440"/>
      <c r="F25" s="1440"/>
      <c r="G25" s="1440"/>
      <c r="H25" s="1440"/>
      <c r="I25" s="1440"/>
      <c r="J25" s="1439">
        <v>5</v>
      </c>
      <c r="K25" s="1440"/>
      <c r="L25" s="1439">
        <v>6</v>
      </c>
      <c r="M25" s="1440"/>
      <c r="N25" s="1440"/>
      <c r="O25" s="1440"/>
      <c r="P25" s="1440"/>
      <c r="Q25" s="1440">
        <f t="shared" si="18"/>
        <v>1918</v>
      </c>
      <c r="R25" s="1440">
        <f>-'[22]Total_Scholarship Only_byLEA'!F34</f>
        <v>0</v>
      </c>
      <c r="S25" s="1443">
        <f t="shared" si="19"/>
        <v>1918</v>
      </c>
      <c r="T25" s="1295"/>
      <c r="U25" s="1295"/>
      <c r="V25" s="1451"/>
      <c r="W25" s="1451"/>
      <c r="X25" s="1451"/>
      <c r="Y25" s="1451"/>
      <c r="Z25" s="1451"/>
      <c r="AA25" s="1451"/>
      <c r="AB25" s="1451"/>
      <c r="AC25" s="1451"/>
      <c r="AD25" s="1451"/>
      <c r="AE25" s="1451"/>
      <c r="AF25" s="1447">
        <f t="shared" si="20"/>
        <v>1918</v>
      </c>
      <c r="AG25" s="1465"/>
      <c r="AH25" s="1466"/>
      <c r="AI25" s="1466"/>
      <c r="AJ25" s="1466"/>
      <c r="AK25" s="1467"/>
    </row>
    <row r="26" spans="1:37" ht="12.75" customHeight="1">
      <c r="A26" s="1294" t="s">
        <v>810</v>
      </c>
      <c r="B26" s="1294" t="s">
        <v>811</v>
      </c>
      <c r="C26" s="1439">
        <v>5883</v>
      </c>
      <c r="D26" s="1440"/>
      <c r="E26" s="1440"/>
      <c r="F26" s="1440"/>
      <c r="G26" s="1440"/>
      <c r="H26" s="1440"/>
      <c r="I26" s="1440"/>
      <c r="J26" s="1439">
        <v>6</v>
      </c>
      <c r="K26" s="1440"/>
      <c r="L26" s="1439">
        <v>4</v>
      </c>
      <c r="M26" s="1440"/>
      <c r="N26" s="1440"/>
      <c r="O26" s="1440"/>
      <c r="P26" s="1440"/>
      <c r="Q26" s="1440">
        <f t="shared" si="18"/>
        <v>5893</v>
      </c>
      <c r="R26" s="1440">
        <f>-'[22]Total_Scholarship Only_byLEA'!F35</f>
        <v>0</v>
      </c>
      <c r="S26" s="1443">
        <f t="shared" si="19"/>
        <v>5893</v>
      </c>
      <c r="T26" s="1295"/>
      <c r="U26" s="1295"/>
      <c r="V26" s="1451"/>
      <c r="W26" s="1451"/>
      <c r="X26" s="1451"/>
      <c r="Y26" s="1451"/>
      <c r="Z26" s="1451"/>
      <c r="AA26" s="1451"/>
      <c r="AB26" s="1451"/>
      <c r="AC26" s="1451"/>
      <c r="AD26" s="1452">
        <v>2</v>
      </c>
      <c r="AE26" s="1451"/>
      <c r="AF26" s="1447">
        <f t="shared" si="20"/>
        <v>5895</v>
      </c>
      <c r="AG26" s="1465"/>
      <c r="AH26" s="1468"/>
      <c r="AI26" s="1468"/>
      <c r="AJ26" s="1466"/>
      <c r="AK26" s="1467"/>
    </row>
    <row r="27" spans="1:37" ht="12.75" customHeight="1">
      <c r="A27" s="1294" t="s">
        <v>298</v>
      </c>
      <c r="B27" s="1294" t="s">
        <v>812</v>
      </c>
      <c r="C27" s="1439">
        <v>2993</v>
      </c>
      <c r="D27" s="1440"/>
      <c r="E27" s="1440"/>
      <c r="F27" s="1440"/>
      <c r="G27" s="1440"/>
      <c r="H27" s="1440"/>
      <c r="I27" s="1440"/>
      <c r="J27" s="1439">
        <v>3</v>
      </c>
      <c r="K27" s="1440"/>
      <c r="L27" s="1439">
        <v>10</v>
      </c>
      <c r="M27" s="1440"/>
      <c r="N27" s="1440"/>
      <c r="O27" s="1440"/>
      <c r="P27" s="1440"/>
      <c r="Q27" s="1440">
        <f t="shared" si="18"/>
        <v>3006</v>
      </c>
      <c r="R27" s="1440">
        <f>-'[22]Total_Scholarship Only_byLEA'!F36</f>
        <v>-39</v>
      </c>
      <c r="S27" s="1443">
        <f t="shared" si="19"/>
        <v>2967</v>
      </c>
      <c r="T27" s="1295"/>
      <c r="U27" s="1295"/>
      <c r="V27" s="1451"/>
      <c r="W27" s="1451"/>
      <c r="X27" s="1451"/>
      <c r="Y27" s="1451"/>
      <c r="Z27" s="1452">
        <v>69</v>
      </c>
      <c r="AA27" s="1451"/>
      <c r="AB27" s="1451"/>
      <c r="AC27" s="1451"/>
      <c r="AD27" s="1451"/>
      <c r="AE27" s="1451"/>
      <c r="AF27" s="1447">
        <f t="shared" si="20"/>
        <v>3036</v>
      </c>
      <c r="AG27" s="1465"/>
      <c r="AH27" s="1466"/>
      <c r="AI27" s="1466"/>
      <c r="AJ27" s="1468"/>
      <c r="AK27" s="1467"/>
    </row>
    <row r="28" spans="1:37" ht="12.75" customHeight="1">
      <c r="A28" s="1294" t="s">
        <v>299</v>
      </c>
      <c r="B28" s="1294" t="s">
        <v>813</v>
      </c>
      <c r="C28" s="1439">
        <v>3204</v>
      </c>
      <c r="D28" s="1440"/>
      <c r="E28" s="1440"/>
      <c r="F28" s="1440"/>
      <c r="G28" s="1440"/>
      <c r="H28" s="1440"/>
      <c r="I28" s="1440"/>
      <c r="J28" s="1439">
        <v>2</v>
      </c>
      <c r="K28" s="1440"/>
      <c r="L28" s="1439">
        <v>5</v>
      </c>
      <c r="M28" s="1440"/>
      <c r="N28" s="1440"/>
      <c r="O28" s="1440"/>
      <c r="P28" s="1440"/>
      <c r="Q28" s="1440">
        <f t="shared" si="18"/>
        <v>3211</v>
      </c>
      <c r="R28" s="1440">
        <f>-'[22]Total_Scholarship Only_byLEA'!F37</f>
        <v>-1</v>
      </c>
      <c r="S28" s="1443">
        <f t="shared" si="19"/>
        <v>3210</v>
      </c>
      <c r="T28" s="1295"/>
      <c r="U28" s="1295"/>
      <c r="V28" s="1451"/>
      <c r="W28" s="1451"/>
      <c r="X28" s="1451"/>
      <c r="Y28" s="1451"/>
      <c r="Z28" s="1451"/>
      <c r="AA28" s="1451"/>
      <c r="AB28" s="1451"/>
      <c r="AC28" s="1451"/>
      <c r="AD28" s="1451"/>
      <c r="AE28" s="1451"/>
      <c r="AF28" s="1447">
        <f t="shared" si="20"/>
        <v>3210</v>
      </c>
      <c r="AG28" s="1465"/>
      <c r="AH28" s="1466"/>
      <c r="AI28" s="1466"/>
      <c r="AJ28" s="1468"/>
      <c r="AK28" s="1467"/>
    </row>
    <row r="29" spans="1:37" ht="12.75" customHeight="1">
      <c r="A29" s="1294" t="s">
        <v>300</v>
      </c>
      <c r="B29" s="1294" t="s">
        <v>814</v>
      </c>
      <c r="C29" s="1439">
        <v>13399</v>
      </c>
      <c r="D29" s="1440"/>
      <c r="E29" s="1440"/>
      <c r="F29" s="1440"/>
      <c r="G29" s="1440"/>
      <c r="H29" s="1440"/>
      <c r="I29" s="1440"/>
      <c r="J29" s="1439">
        <v>12</v>
      </c>
      <c r="K29" s="1440"/>
      <c r="L29" s="1439">
        <v>18</v>
      </c>
      <c r="M29" s="1440"/>
      <c r="N29" s="1440"/>
      <c r="O29" s="1440"/>
      <c r="P29" s="1440"/>
      <c r="Q29" s="1440">
        <f t="shared" si="18"/>
        <v>13429</v>
      </c>
      <c r="R29" s="1440">
        <f>-'[22]Total_Scholarship Only_byLEA'!F38</f>
        <v>-1</v>
      </c>
      <c r="S29" s="1443">
        <f t="shared" si="19"/>
        <v>13428</v>
      </c>
      <c r="T29" s="1295"/>
      <c r="U29" s="1295"/>
      <c r="V29" s="1451"/>
      <c r="W29" s="1452">
        <v>74</v>
      </c>
      <c r="X29" s="1451"/>
      <c r="Y29" s="1451"/>
      <c r="Z29" s="1451"/>
      <c r="AA29" s="1451"/>
      <c r="AB29" s="1451"/>
      <c r="AC29" s="1451"/>
      <c r="AD29" s="1452">
        <v>3</v>
      </c>
      <c r="AE29" s="1451"/>
      <c r="AF29" s="1447">
        <f t="shared" si="20"/>
        <v>13505</v>
      </c>
      <c r="AG29" s="1465"/>
      <c r="AH29" s="1468"/>
      <c r="AI29" s="1468"/>
      <c r="AJ29" s="1468"/>
      <c r="AK29" s="1467"/>
    </row>
    <row r="30" spans="1:37" ht="12.75" customHeight="1">
      <c r="A30" s="1294" t="s">
        <v>301</v>
      </c>
      <c r="B30" s="1294" t="s">
        <v>815</v>
      </c>
      <c r="C30" s="1439">
        <v>4529</v>
      </c>
      <c r="D30" s="1440"/>
      <c r="E30" s="1440"/>
      <c r="F30" s="1440"/>
      <c r="G30" s="1440"/>
      <c r="H30" s="1440"/>
      <c r="I30" s="1440"/>
      <c r="J30" s="1439">
        <v>10</v>
      </c>
      <c r="K30" s="1440"/>
      <c r="L30" s="1439">
        <v>1</v>
      </c>
      <c r="M30" s="1440"/>
      <c r="N30" s="1440"/>
      <c r="O30" s="1440"/>
      <c r="P30" s="1440"/>
      <c r="Q30" s="1440">
        <f t="shared" si="18"/>
        <v>4540</v>
      </c>
      <c r="R30" s="1440">
        <f>-'[22]Total_Scholarship Only_byLEA'!F39</f>
        <v>-28</v>
      </c>
      <c r="S30" s="1443">
        <f t="shared" si="19"/>
        <v>4512</v>
      </c>
      <c r="T30" s="1295"/>
      <c r="U30" s="1295"/>
      <c r="V30" s="1451"/>
      <c r="W30" s="1451"/>
      <c r="X30" s="1451"/>
      <c r="Y30" s="1451"/>
      <c r="Z30" s="1451"/>
      <c r="AA30" s="1451"/>
      <c r="AB30" s="1451"/>
      <c r="AC30" s="1451"/>
      <c r="AD30" s="1452">
        <v>4</v>
      </c>
      <c r="AE30" s="1451"/>
      <c r="AF30" s="1447">
        <f t="shared" si="20"/>
        <v>4516</v>
      </c>
      <c r="AG30" s="1465"/>
      <c r="AH30" s="1468"/>
      <c r="AI30" s="1468"/>
      <c r="AJ30" s="1466"/>
      <c r="AK30" s="1467"/>
    </row>
    <row r="31" spans="1:37" ht="12.75" customHeight="1">
      <c r="A31" s="1294" t="s">
        <v>302</v>
      </c>
      <c r="B31" s="1294" t="s">
        <v>816</v>
      </c>
      <c r="C31" s="1439">
        <v>2225</v>
      </c>
      <c r="D31" s="1440"/>
      <c r="E31" s="1440"/>
      <c r="F31" s="1440"/>
      <c r="G31" s="1440"/>
      <c r="H31" s="1440"/>
      <c r="I31" s="1440"/>
      <c r="J31" s="1439">
        <v>4</v>
      </c>
      <c r="K31" s="1440"/>
      <c r="L31" s="1439">
        <v>1</v>
      </c>
      <c r="M31" s="1440"/>
      <c r="N31" s="1440"/>
      <c r="O31" s="1440"/>
      <c r="P31" s="1440"/>
      <c r="Q31" s="1440">
        <f t="shared" si="18"/>
        <v>2230</v>
      </c>
      <c r="R31" s="1440">
        <f>-'[22]Total_Scholarship Only_byLEA'!F40</f>
        <v>-7</v>
      </c>
      <c r="S31" s="1443">
        <f t="shared" si="19"/>
        <v>2223</v>
      </c>
      <c r="T31" s="1295"/>
      <c r="U31" s="1295"/>
      <c r="V31" s="1451"/>
      <c r="W31" s="1451"/>
      <c r="X31" s="1451"/>
      <c r="Y31" s="1451"/>
      <c r="Z31" s="1451"/>
      <c r="AA31" s="1451"/>
      <c r="AB31" s="1451"/>
      <c r="AC31" s="1451"/>
      <c r="AD31" s="1451"/>
      <c r="AE31" s="1451"/>
      <c r="AF31" s="1447">
        <f t="shared" si="20"/>
        <v>2223</v>
      </c>
      <c r="AG31" s="1465"/>
      <c r="AH31" s="1466"/>
      <c r="AI31" s="1466"/>
      <c r="AJ31" s="1466"/>
      <c r="AK31" s="1467"/>
    </row>
    <row r="32" spans="1:37" ht="12.75" customHeight="1">
      <c r="A32" s="1294" t="s">
        <v>303</v>
      </c>
      <c r="B32" s="1294" t="s">
        <v>817</v>
      </c>
      <c r="C32" s="1439">
        <v>44001</v>
      </c>
      <c r="D32" s="1440"/>
      <c r="E32" s="1440"/>
      <c r="F32" s="1440"/>
      <c r="G32" s="1440"/>
      <c r="H32" s="1440"/>
      <c r="I32" s="1440"/>
      <c r="J32" s="1439">
        <v>96</v>
      </c>
      <c r="K32" s="1439">
        <v>46</v>
      </c>
      <c r="L32" s="1439">
        <v>98</v>
      </c>
      <c r="M32" s="1440"/>
      <c r="N32" s="1439">
        <v>49</v>
      </c>
      <c r="O32" s="1439">
        <v>110</v>
      </c>
      <c r="P32" s="1440"/>
      <c r="Q32" s="1440">
        <f t="shared" si="18"/>
        <v>44400</v>
      </c>
      <c r="R32" s="1440">
        <f>-'[22]Total_Scholarship Only_byLEA'!F41</f>
        <v>-406</v>
      </c>
      <c r="S32" s="1443">
        <f t="shared" si="19"/>
        <v>43994</v>
      </c>
      <c r="T32" s="1295"/>
      <c r="U32" s="1295"/>
      <c r="V32" s="1451"/>
      <c r="W32" s="1451"/>
      <c r="X32" s="1452">
        <v>229</v>
      </c>
      <c r="Y32" s="1451"/>
      <c r="Z32" s="1451"/>
      <c r="AA32" s="1452">
        <v>269</v>
      </c>
      <c r="AB32" s="1452">
        <v>117</v>
      </c>
      <c r="AC32" s="1451"/>
      <c r="AD32" s="1452">
        <v>10</v>
      </c>
      <c r="AE32" s="1452">
        <v>32</v>
      </c>
      <c r="AF32" s="1447">
        <f t="shared" si="20"/>
        <v>44651</v>
      </c>
      <c r="AG32" s="1465"/>
      <c r="AH32" s="1468"/>
      <c r="AI32" s="1468"/>
      <c r="AJ32" s="1468"/>
      <c r="AK32" s="1467"/>
    </row>
    <row r="33" spans="1:37" ht="12.75" customHeight="1">
      <c r="A33" s="1294" t="s">
        <v>818</v>
      </c>
      <c r="B33" s="1294" t="s">
        <v>819</v>
      </c>
      <c r="C33" s="1439">
        <v>5596</v>
      </c>
      <c r="D33" s="1440"/>
      <c r="E33" s="1440"/>
      <c r="F33" s="1440"/>
      <c r="G33" s="1439">
        <v>8</v>
      </c>
      <c r="H33" s="1440"/>
      <c r="I33" s="1440"/>
      <c r="J33" s="1439">
        <v>3</v>
      </c>
      <c r="K33" s="1440"/>
      <c r="L33" s="1439">
        <v>7</v>
      </c>
      <c r="M33" s="1440"/>
      <c r="N33" s="1440"/>
      <c r="O33" s="1440"/>
      <c r="P33" s="1440"/>
      <c r="Q33" s="1440">
        <f t="shared" si="18"/>
        <v>5614</v>
      </c>
      <c r="R33" s="1440">
        <f>-'[22]Total_Scholarship Only_byLEA'!F42</f>
        <v>0</v>
      </c>
      <c r="S33" s="1443">
        <f t="shared" si="19"/>
        <v>5614</v>
      </c>
      <c r="T33" s="1295"/>
      <c r="U33" s="1295"/>
      <c r="V33" s="1451"/>
      <c r="W33" s="1451"/>
      <c r="X33" s="1451"/>
      <c r="Y33" s="1451"/>
      <c r="Z33" s="1451"/>
      <c r="AA33" s="1451"/>
      <c r="AB33" s="1451"/>
      <c r="AC33" s="1451"/>
      <c r="AD33" s="1451"/>
      <c r="AE33" s="1451"/>
      <c r="AF33" s="1447">
        <f t="shared" si="20"/>
        <v>5614</v>
      </c>
      <c r="AG33" s="1465"/>
      <c r="AH33" s="1466"/>
      <c r="AI33" s="1466"/>
      <c r="AJ33" s="1466"/>
      <c r="AK33" s="1467"/>
    </row>
    <row r="34" spans="1:37" ht="12.75" customHeight="1">
      <c r="A34" s="1294" t="s">
        <v>304</v>
      </c>
      <c r="B34" s="1294" t="s">
        <v>820</v>
      </c>
      <c r="C34" s="1439">
        <v>30061</v>
      </c>
      <c r="D34" s="1440"/>
      <c r="E34" s="1440"/>
      <c r="F34" s="1440"/>
      <c r="G34" s="1440"/>
      <c r="H34" s="1440"/>
      <c r="I34" s="1440"/>
      <c r="J34" s="1439">
        <v>39</v>
      </c>
      <c r="K34" s="1440"/>
      <c r="L34" s="1439">
        <v>46</v>
      </c>
      <c r="M34" s="1440"/>
      <c r="N34" s="1440"/>
      <c r="O34" s="1440"/>
      <c r="P34" s="1439">
        <v>1</v>
      </c>
      <c r="Q34" s="1439">
        <f t="shared" si="18"/>
        <v>30147</v>
      </c>
      <c r="R34" s="1439">
        <f>-'[22]Total_Scholarship Only_byLEA'!F43</f>
        <v>-136</v>
      </c>
      <c r="S34" s="1444">
        <f t="shared" si="19"/>
        <v>30011</v>
      </c>
      <c r="T34" s="1295"/>
      <c r="U34" s="1295"/>
      <c r="V34" s="1451"/>
      <c r="W34" s="1451"/>
      <c r="X34" s="1451"/>
      <c r="Y34" s="1451"/>
      <c r="Z34" s="1451"/>
      <c r="AA34" s="1451"/>
      <c r="AB34" s="1451"/>
      <c r="AC34" s="1451"/>
      <c r="AD34" s="1452">
        <v>12</v>
      </c>
      <c r="AE34" s="1451"/>
      <c r="AF34" s="1447">
        <f t="shared" si="20"/>
        <v>30023</v>
      </c>
      <c r="AG34" s="1465"/>
      <c r="AH34" s="1468"/>
      <c r="AI34" s="1468"/>
      <c r="AJ34" s="1468"/>
      <c r="AK34" s="1467"/>
    </row>
    <row r="35" spans="1:37" ht="12.75" customHeight="1">
      <c r="A35" s="1294" t="s">
        <v>305</v>
      </c>
      <c r="B35" s="1294" t="s">
        <v>821</v>
      </c>
      <c r="C35" s="1439">
        <v>13699</v>
      </c>
      <c r="D35" s="1440"/>
      <c r="E35" s="1440"/>
      <c r="F35" s="1440"/>
      <c r="G35" s="1440"/>
      <c r="H35" s="1440"/>
      <c r="I35" s="1440"/>
      <c r="J35" s="1439">
        <v>12</v>
      </c>
      <c r="K35" s="1440"/>
      <c r="L35" s="1439">
        <v>8</v>
      </c>
      <c r="M35" s="1440"/>
      <c r="N35" s="1440"/>
      <c r="O35" s="1440"/>
      <c r="P35" s="1440"/>
      <c r="Q35" s="1440">
        <f t="shared" si="18"/>
        <v>13719</v>
      </c>
      <c r="R35" s="1440">
        <f>-'[22]Total_Scholarship Only_byLEA'!F44</f>
        <v>-40</v>
      </c>
      <c r="S35" s="1443">
        <f t="shared" si="19"/>
        <v>13679</v>
      </c>
      <c r="T35" s="1295"/>
      <c r="U35" s="1295"/>
      <c r="V35" s="1451"/>
      <c r="W35" s="1451"/>
      <c r="X35" s="1451"/>
      <c r="Y35" s="1451"/>
      <c r="Z35" s="1451"/>
      <c r="AA35" s="1451"/>
      <c r="AB35" s="1451"/>
      <c r="AC35" s="1452">
        <v>59</v>
      </c>
      <c r="AD35" s="1452">
        <v>3</v>
      </c>
      <c r="AE35" s="1452">
        <v>1</v>
      </c>
      <c r="AF35" s="1447">
        <f t="shared" si="20"/>
        <v>13742</v>
      </c>
      <c r="AG35" s="1465"/>
      <c r="AH35" s="1468"/>
      <c r="AI35" s="1468"/>
      <c r="AJ35" s="1468"/>
      <c r="AK35" s="1467"/>
    </row>
    <row r="36" spans="1:37" ht="12.75" customHeight="1">
      <c r="A36" s="1294" t="s">
        <v>822</v>
      </c>
      <c r="B36" s="1294" t="s">
        <v>823</v>
      </c>
      <c r="C36" s="1439">
        <v>2470</v>
      </c>
      <c r="D36" s="1440"/>
      <c r="E36" s="1440"/>
      <c r="F36" s="1440"/>
      <c r="G36" s="1440"/>
      <c r="H36" s="1440"/>
      <c r="I36" s="1440"/>
      <c r="J36" s="1439">
        <v>4</v>
      </c>
      <c r="K36" s="1440"/>
      <c r="L36" s="1439">
        <v>2</v>
      </c>
      <c r="M36" s="1440"/>
      <c r="N36" s="1440"/>
      <c r="O36" s="1440"/>
      <c r="P36" s="1440"/>
      <c r="Q36" s="1440">
        <f t="shared" si="18"/>
        <v>2476</v>
      </c>
      <c r="R36" s="1440">
        <f>-'[22]Total_Scholarship Only_byLEA'!F45</f>
        <v>0</v>
      </c>
      <c r="S36" s="1443">
        <f t="shared" si="19"/>
        <v>2476</v>
      </c>
      <c r="T36" s="1295"/>
      <c r="U36" s="1295"/>
      <c r="V36" s="1451"/>
      <c r="W36" s="1451"/>
      <c r="X36" s="1451"/>
      <c r="Y36" s="1451"/>
      <c r="Z36" s="1451"/>
      <c r="AA36" s="1451"/>
      <c r="AB36" s="1451"/>
      <c r="AC36" s="1451"/>
      <c r="AD36" s="1452">
        <v>1</v>
      </c>
      <c r="AE36" s="1451"/>
      <c r="AF36" s="1447">
        <f t="shared" si="20"/>
        <v>2477</v>
      </c>
      <c r="AG36" s="1465"/>
      <c r="AH36" s="1466"/>
      <c r="AI36" s="1466"/>
      <c r="AJ36" s="1466"/>
      <c r="AK36" s="1467"/>
    </row>
    <row r="37" spans="1:37" ht="12.75" customHeight="1">
      <c r="A37" s="1294" t="s">
        <v>306</v>
      </c>
      <c r="B37" s="1294" t="s">
        <v>824</v>
      </c>
      <c r="C37" s="1439">
        <v>6466</v>
      </c>
      <c r="D37" s="1440"/>
      <c r="E37" s="1440"/>
      <c r="F37" s="1440"/>
      <c r="G37" s="1440"/>
      <c r="H37" s="1439">
        <v>8</v>
      </c>
      <c r="I37" s="1440"/>
      <c r="J37" s="1439">
        <v>2</v>
      </c>
      <c r="K37" s="1440"/>
      <c r="L37" s="1439">
        <v>4</v>
      </c>
      <c r="M37" s="1440"/>
      <c r="N37" s="1440"/>
      <c r="O37" s="1440"/>
      <c r="P37" s="1440"/>
      <c r="Q37" s="1440">
        <f t="shared" si="18"/>
        <v>6480</v>
      </c>
      <c r="R37" s="1440">
        <f>-'[22]Total_Scholarship Only_byLEA'!F46</f>
        <v>-75</v>
      </c>
      <c r="S37" s="1443">
        <f t="shared" si="19"/>
        <v>6405</v>
      </c>
      <c r="T37" s="1295"/>
      <c r="U37" s="1295"/>
      <c r="V37" s="1451"/>
      <c r="W37" s="1451"/>
      <c r="X37" s="1451"/>
      <c r="Y37" s="1451"/>
      <c r="Z37" s="1451"/>
      <c r="AA37" s="1451"/>
      <c r="AB37" s="1451"/>
      <c r="AC37" s="1451"/>
      <c r="AD37" s="1452">
        <v>1</v>
      </c>
      <c r="AE37" s="1451"/>
      <c r="AF37" s="1447">
        <f t="shared" si="20"/>
        <v>6406</v>
      </c>
      <c r="AG37" s="1465"/>
      <c r="AH37" s="1466"/>
      <c r="AI37" s="1466"/>
      <c r="AJ37" s="1466"/>
      <c r="AK37" s="1467"/>
    </row>
    <row r="38" spans="1:37" ht="12.75" customHeight="1">
      <c r="A38" s="1294" t="s">
        <v>307</v>
      </c>
      <c r="B38" s="1294" t="s">
        <v>825</v>
      </c>
      <c r="C38" s="1439">
        <v>24708</v>
      </c>
      <c r="D38" s="1440"/>
      <c r="E38" s="1440"/>
      <c r="F38" s="1440"/>
      <c r="G38" s="1440"/>
      <c r="H38" s="1440"/>
      <c r="I38" s="1440"/>
      <c r="J38" s="1439">
        <v>32</v>
      </c>
      <c r="K38" s="1440"/>
      <c r="L38" s="1439">
        <v>76</v>
      </c>
      <c r="M38" s="1440"/>
      <c r="N38" s="1440"/>
      <c r="O38" s="1440"/>
      <c r="P38" s="1440"/>
      <c r="Q38" s="1440">
        <f t="shared" si="18"/>
        <v>24816</v>
      </c>
      <c r="R38" s="1440">
        <f>-'[22]Total_Scholarship Only_byLEA'!F47</f>
        <v>-1</v>
      </c>
      <c r="S38" s="1443">
        <f t="shared" si="19"/>
        <v>24815</v>
      </c>
      <c r="T38" s="1295"/>
      <c r="U38" s="1295"/>
      <c r="V38" s="1451"/>
      <c r="W38" s="1451"/>
      <c r="X38" s="1451"/>
      <c r="Y38" s="1451"/>
      <c r="Z38" s="1451"/>
      <c r="AA38" s="1451"/>
      <c r="AB38" s="1451"/>
      <c r="AC38" s="1452">
        <v>1</v>
      </c>
      <c r="AD38" s="1452">
        <v>13</v>
      </c>
      <c r="AE38" s="1452">
        <v>1</v>
      </c>
      <c r="AF38" s="1447">
        <f t="shared" si="20"/>
        <v>24830</v>
      </c>
      <c r="AG38" s="1465"/>
      <c r="AH38" s="1468"/>
      <c r="AI38" s="1466"/>
      <c r="AJ38" s="1466"/>
      <c r="AK38" s="1467"/>
    </row>
    <row r="39" spans="1:37" ht="12.75" customHeight="1">
      <c r="A39" s="1294" t="s">
        <v>826</v>
      </c>
      <c r="B39" s="1294" t="s">
        <v>827</v>
      </c>
      <c r="C39" s="1439">
        <v>1786</v>
      </c>
      <c r="D39" s="1440"/>
      <c r="E39" s="1440"/>
      <c r="F39" s="1440"/>
      <c r="G39" s="1440"/>
      <c r="H39" s="1440"/>
      <c r="I39" s="1440"/>
      <c r="J39" s="1439">
        <v>2</v>
      </c>
      <c r="K39" s="1440"/>
      <c r="L39" s="1439">
        <v>4</v>
      </c>
      <c r="M39" s="1440"/>
      <c r="N39" s="1440"/>
      <c r="O39" s="1440"/>
      <c r="P39" s="1440"/>
      <c r="Q39" s="1440">
        <f t="shared" ref="Q39:Q70" si="21">SUM(C39:P39)</f>
        <v>1792</v>
      </c>
      <c r="R39" s="1440">
        <f>-'[22]Total_Scholarship Only_byLEA'!F48</f>
        <v>0</v>
      </c>
      <c r="S39" s="1443">
        <f t="shared" ref="S39:S70" si="22">SUM(Q39:R39)</f>
        <v>1792</v>
      </c>
      <c r="T39" s="1295"/>
      <c r="U39" s="1295"/>
      <c r="V39" s="1451"/>
      <c r="W39" s="1451"/>
      <c r="X39" s="1451"/>
      <c r="Y39" s="1451"/>
      <c r="Z39" s="1452">
        <v>140</v>
      </c>
      <c r="AA39" s="1451"/>
      <c r="AB39" s="1451"/>
      <c r="AC39" s="1451"/>
      <c r="AD39" s="1451"/>
      <c r="AE39" s="1451"/>
      <c r="AF39" s="1447">
        <f t="shared" si="20"/>
        <v>1932</v>
      </c>
      <c r="AG39" s="1465"/>
      <c r="AH39" s="1466"/>
      <c r="AI39" s="1466"/>
      <c r="AJ39" s="1466"/>
      <c r="AK39" s="1467"/>
    </row>
    <row r="40" spans="1:37" ht="12.75" customHeight="1">
      <c r="A40" s="1294" t="s">
        <v>308</v>
      </c>
      <c r="B40" s="1294" t="s">
        <v>828</v>
      </c>
      <c r="C40" s="1439">
        <v>4254</v>
      </c>
      <c r="D40" s="1440"/>
      <c r="E40" s="1440"/>
      <c r="F40" s="1440"/>
      <c r="G40" s="1440"/>
      <c r="H40" s="1440"/>
      <c r="I40" s="1440"/>
      <c r="J40" s="1439">
        <v>15</v>
      </c>
      <c r="K40" s="1440"/>
      <c r="L40" s="1439">
        <v>7</v>
      </c>
      <c r="M40" s="1440"/>
      <c r="N40" s="1440"/>
      <c r="O40" s="1440"/>
      <c r="P40" s="1440"/>
      <c r="Q40" s="1440">
        <f t="shared" si="21"/>
        <v>4276</v>
      </c>
      <c r="R40" s="1440">
        <f>-'[22]Total_Scholarship Only_byLEA'!F49</f>
        <v>-4</v>
      </c>
      <c r="S40" s="1443">
        <f t="shared" si="22"/>
        <v>4272</v>
      </c>
      <c r="T40" s="1295"/>
      <c r="U40" s="1295"/>
      <c r="V40" s="1452">
        <v>8</v>
      </c>
      <c r="W40" s="1451"/>
      <c r="X40" s="1451"/>
      <c r="Y40" s="1451"/>
      <c r="Z40" s="1452">
        <v>2</v>
      </c>
      <c r="AA40" s="1451"/>
      <c r="AB40" s="1451"/>
      <c r="AC40" s="1451"/>
      <c r="AD40" s="1452">
        <v>2</v>
      </c>
      <c r="AE40" s="1451"/>
      <c r="AF40" s="1447">
        <f t="shared" si="20"/>
        <v>4284</v>
      </c>
      <c r="AG40" s="1465"/>
      <c r="AH40" s="1466"/>
      <c r="AI40" s="1466"/>
      <c r="AJ40" s="1468"/>
      <c r="AK40" s="1467"/>
    </row>
    <row r="41" spans="1:37" ht="12.75" customHeight="1">
      <c r="A41" s="1294" t="s">
        <v>309</v>
      </c>
      <c r="B41" s="1294" t="s">
        <v>829</v>
      </c>
      <c r="C41" s="1439">
        <v>6459</v>
      </c>
      <c r="D41" s="1440"/>
      <c r="E41" s="1440"/>
      <c r="F41" s="1440"/>
      <c r="G41" s="1440"/>
      <c r="H41" s="1440"/>
      <c r="I41" s="1440"/>
      <c r="J41" s="1439">
        <v>17</v>
      </c>
      <c r="K41" s="1440"/>
      <c r="L41" s="1439">
        <v>16</v>
      </c>
      <c r="M41" s="1440"/>
      <c r="N41" s="1440"/>
      <c r="O41" s="1440"/>
      <c r="P41" s="1440"/>
      <c r="Q41" s="1440">
        <f t="shared" si="21"/>
        <v>6492</v>
      </c>
      <c r="R41" s="1440">
        <f>-'[22]Total_Scholarship Only_byLEA'!F50</f>
        <v>-2</v>
      </c>
      <c r="S41" s="1443">
        <f t="shared" si="22"/>
        <v>6490</v>
      </c>
      <c r="T41" s="1295"/>
      <c r="U41" s="1295"/>
      <c r="V41" s="1451"/>
      <c r="W41" s="1451"/>
      <c r="X41" s="1451"/>
      <c r="Y41" s="1451"/>
      <c r="Z41" s="1451"/>
      <c r="AA41" s="1451"/>
      <c r="AB41" s="1451"/>
      <c r="AC41" s="1451"/>
      <c r="AD41" s="1452">
        <v>13</v>
      </c>
      <c r="AE41" s="1451"/>
      <c r="AF41" s="1447">
        <f t="shared" si="20"/>
        <v>6503</v>
      </c>
      <c r="AG41" s="1465"/>
      <c r="AH41" s="1466"/>
      <c r="AI41" s="1466"/>
      <c r="AJ41" s="1466"/>
      <c r="AK41" s="1467"/>
    </row>
    <row r="42" spans="1:37" ht="12.75" customHeight="1">
      <c r="A42" s="1294" t="s">
        <v>310</v>
      </c>
      <c r="B42" s="1294" t="s">
        <v>830</v>
      </c>
      <c r="C42" s="1439">
        <v>13385</v>
      </c>
      <c r="D42" s="1440"/>
      <c r="E42" s="1439">
        <v>25217</v>
      </c>
      <c r="F42" s="1439">
        <v>3759</v>
      </c>
      <c r="G42" s="1440"/>
      <c r="H42" s="1440"/>
      <c r="I42" s="1440"/>
      <c r="J42" s="1439">
        <v>52</v>
      </c>
      <c r="K42" s="1439">
        <v>386</v>
      </c>
      <c r="L42" s="1439">
        <v>43</v>
      </c>
      <c r="M42" s="1440"/>
      <c r="N42" s="1439">
        <v>146</v>
      </c>
      <c r="O42" s="1439">
        <v>104</v>
      </c>
      <c r="P42" s="1440"/>
      <c r="Q42" s="1440">
        <f t="shared" si="21"/>
        <v>43092</v>
      </c>
      <c r="R42" s="1440">
        <f>-'[22]Total_Scholarship Only_byLEA'!F51</f>
        <v>-2388</v>
      </c>
      <c r="S42" s="1443">
        <f t="shared" si="22"/>
        <v>40704</v>
      </c>
      <c r="T42" s="1295"/>
      <c r="U42" s="1295"/>
      <c r="V42" s="1451"/>
      <c r="W42" s="1451"/>
      <c r="X42" s="1452">
        <v>467</v>
      </c>
      <c r="Y42" s="1451"/>
      <c r="Z42" s="1451"/>
      <c r="AA42" s="1452">
        <v>191</v>
      </c>
      <c r="AB42" s="1452">
        <v>340</v>
      </c>
      <c r="AC42" s="1451"/>
      <c r="AD42" s="1452">
        <v>6</v>
      </c>
      <c r="AE42" s="1452">
        <v>52</v>
      </c>
      <c r="AF42" s="1447">
        <f t="shared" si="20"/>
        <v>41760</v>
      </c>
      <c r="AG42" s="1465"/>
      <c r="AH42" s="1468"/>
      <c r="AI42" s="1468"/>
      <c r="AJ42" s="1468"/>
      <c r="AK42" s="1467"/>
    </row>
    <row r="43" spans="1:37" ht="12.75" customHeight="1">
      <c r="A43" s="1294" t="s">
        <v>311</v>
      </c>
      <c r="B43" s="1294" t="s">
        <v>831</v>
      </c>
      <c r="C43" s="1439">
        <v>19609</v>
      </c>
      <c r="D43" s="1440"/>
      <c r="E43" s="1440"/>
      <c r="F43" s="1440"/>
      <c r="G43" s="1440"/>
      <c r="H43" s="1439">
        <v>3</v>
      </c>
      <c r="I43" s="1440"/>
      <c r="J43" s="1439">
        <v>37</v>
      </c>
      <c r="K43" s="1440"/>
      <c r="L43" s="1439">
        <v>17</v>
      </c>
      <c r="M43" s="1440"/>
      <c r="N43" s="1440"/>
      <c r="O43" s="1440"/>
      <c r="P43" s="1440"/>
      <c r="Q43" s="1440">
        <f t="shared" si="21"/>
        <v>19666</v>
      </c>
      <c r="R43" s="1440">
        <f>-'[22]Total_Scholarship Only_byLEA'!F52</f>
        <v>-44</v>
      </c>
      <c r="S43" s="1443">
        <f t="shared" si="22"/>
        <v>19622</v>
      </c>
      <c r="T43" s="1295"/>
      <c r="U43" s="1295"/>
      <c r="V43" s="1452">
        <v>122</v>
      </c>
      <c r="W43" s="1451"/>
      <c r="X43" s="1451"/>
      <c r="Y43" s="1451"/>
      <c r="Z43" s="1452">
        <v>3</v>
      </c>
      <c r="AA43" s="1451"/>
      <c r="AB43" s="1451"/>
      <c r="AC43" s="1451"/>
      <c r="AD43" s="1452">
        <v>6</v>
      </c>
      <c r="AE43" s="1451"/>
      <c r="AF43" s="1447">
        <f t="shared" si="20"/>
        <v>19753</v>
      </c>
      <c r="AG43" s="1465"/>
      <c r="AH43" s="1468"/>
      <c r="AI43" s="1468"/>
      <c r="AJ43" s="1468"/>
      <c r="AK43" s="1467"/>
    </row>
    <row r="44" spans="1:37" ht="12.75" customHeight="1">
      <c r="A44" s="1294" t="s">
        <v>312</v>
      </c>
      <c r="B44" s="1294" t="s">
        <v>832</v>
      </c>
      <c r="C44" s="1439">
        <v>3792</v>
      </c>
      <c r="D44" s="1440"/>
      <c r="E44" s="1440"/>
      <c r="F44" s="1440"/>
      <c r="G44" s="1440"/>
      <c r="H44" s="1440"/>
      <c r="I44" s="1440"/>
      <c r="J44" s="1439">
        <v>2</v>
      </c>
      <c r="K44" s="1440"/>
      <c r="L44" s="1439">
        <v>6</v>
      </c>
      <c r="M44" s="1440"/>
      <c r="N44" s="1439">
        <v>3</v>
      </c>
      <c r="O44" s="1439">
        <v>8</v>
      </c>
      <c r="P44" s="1440"/>
      <c r="Q44" s="1440">
        <f t="shared" si="21"/>
        <v>3811</v>
      </c>
      <c r="R44" s="1440">
        <f>-'[22]Total_Scholarship Only_byLEA'!F53</f>
        <v>-1</v>
      </c>
      <c r="S44" s="1443">
        <f t="shared" si="22"/>
        <v>3810</v>
      </c>
      <c r="T44" s="1295"/>
      <c r="U44" s="1295"/>
      <c r="V44" s="1451"/>
      <c r="W44" s="1451"/>
      <c r="X44" s="1452">
        <v>1</v>
      </c>
      <c r="Y44" s="1451"/>
      <c r="Z44" s="1451"/>
      <c r="AA44" s="1452">
        <v>484</v>
      </c>
      <c r="AB44" s="1451"/>
      <c r="AC44" s="1451"/>
      <c r="AD44" s="1452">
        <v>2</v>
      </c>
      <c r="AE44" s="1452">
        <v>1</v>
      </c>
      <c r="AF44" s="1447">
        <f t="shared" si="20"/>
        <v>4298</v>
      </c>
      <c r="AG44" s="1465"/>
      <c r="AH44" s="1466"/>
      <c r="AI44" s="1466"/>
      <c r="AJ44" s="1466"/>
      <c r="AK44" s="1467"/>
    </row>
    <row r="45" spans="1:37" ht="12.75" customHeight="1">
      <c r="A45" s="1294" t="s">
        <v>313</v>
      </c>
      <c r="B45" s="1294" t="s">
        <v>833</v>
      </c>
      <c r="C45" s="1439">
        <v>2629</v>
      </c>
      <c r="D45" s="1440"/>
      <c r="E45" s="1440"/>
      <c r="F45" s="1439">
        <v>231</v>
      </c>
      <c r="G45" s="1440"/>
      <c r="H45" s="1440"/>
      <c r="I45" s="1440"/>
      <c r="J45" s="1439">
        <v>3</v>
      </c>
      <c r="K45" s="1440"/>
      <c r="L45" s="1439">
        <v>5</v>
      </c>
      <c r="M45" s="1440"/>
      <c r="N45" s="1440"/>
      <c r="O45" s="1440"/>
      <c r="P45" s="1440"/>
      <c r="Q45" s="1440">
        <f t="shared" si="21"/>
        <v>2868</v>
      </c>
      <c r="R45" s="1440">
        <f>-'[22]Total_Scholarship Only_byLEA'!F54</f>
        <v>-29</v>
      </c>
      <c r="S45" s="1443">
        <f t="shared" si="22"/>
        <v>2839</v>
      </c>
      <c r="T45" s="1295"/>
      <c r="U45" s="1295"/>
      <c r="V45" s="1451"/>
      <c r="W45" s="1451"/>
      <c r="X45" s="1451"/>
      <c r="Y45" s="1452">
        <v>1</v>
      </c>
      <c r="Z45" s="1451"/>
      <c r="AA45" s="1451"/>
      <c r="AB45" s="1451"/>
      <c r="AC45" s="1451"/>
      <c r="AD45" s="1452">
        <v>6</v>
      </c>
      <c r="AE45" s="1451"/>
      <c r="AF45" s="1447">
        <f t="shared" si="20"/>
        <v>2846</v>
      </c>
      <c r="AG45" s="1465"/>
      <c r="AH45" s="1468"/>
      <c r="AI45" s="1466"/>
      <c r="AJ45" s="1468"/>
      <c r="AK45" s="1467"/>
    </row>
    <row r="46" spans="1:37" ht="12.75" customHeight="1">
      <c r="A46" s="1294" t="s">
        <v>314</v>
      </c>
      <c r="B46" s="1294" t="s">
        <v>834</v>
      </c>
      <c r="C46" s="1439">
        <v>22990</v>
      </c>
      <c r="D46" s="1440"/>
      <c r="E46" s="1440"/>
      <c r="F46" s="1440"/>
      <c r="G46" s="1440"/>
      <c r="H46" s="1440"/>
      <c r="I46" s="1440"/>
      <c r="J46" s="1439">
        <v>32</v>
      </c>
      <c r="K46" s="1440"/>
      <c r="L46" s="1439">
        <v>27</v>
      </c>
      <c r="M46" s="1440"/>
      <c r="N46" s="1440"/>
      <c r="O46" s="1440"/>
      <c r="P46" s="1440"/>
      <c r="Q46" s="1440">
        <f t="shared" si="21"/>
        <v>23049</v>
      </c>
      <c r="R46" s="1440">
        <f>-'[22]Total_Scholarship Only_byLEA'!F55</f>
        <v>-74</v>
      </c>
      <c r="S46" s="1443">
        <f t="shared" si="22"/>
        <v>22975</v>
      </c>
      <c r="T46" s="1295"/>
      <c r="U46" s="1295"/>
      <c r="V46" s="1451"/>
      <c r="W46" s="1451"/>
      <c r="X46" s="1451"/>
      <c r="Y46" s="1452">
        <v>4</v>
      </c>
      <c r="Z46" s="1451"/>
      <c r="AA46" s="1451"/>
      <c r="AB46" s="1451"/>
      <c r="AC46" s="1451"/>
      <c r="AD46" s="1452">
        <v>8</v>
      </c>
      <c r="AE46" s="1451"/>
      <c r="AF46" s="1447">
        <f t="shared" si="20"/>
        <v>22987</v>
      </c>
      <c r="AG46" s="1469"/>
      <c r="AH46" s="1466"/>
      <c r="AI46" s="1468"/>
      <c r="AJ46" s="1468"/>
      <c r="AK46" s="1467"/>
    </row>
    <row r="47" spans="1:37" ht="12.75" customHeight="1">
      <c r="A47" s="1294" t="s">
        <v>835</v>
      </c>
      <c r="B47" s="1294" t="s">
        <v>836</v>
      </c>
      <c r="C47" s="1439">
        <v>1409</v>
      </c>
      <c r="D47" s="1440"/>
      <c r="E47" s="1440"/>
      <c r="F47" s="1440"/>
      <c r="G47" s="1440"/>
      <c r="H47" s="1440"/>
      <c r="I47" s="1440"/>
      <c r="J47" s="1439">
        <v>1</v>
      </c>
      <c r="K47" s="1440"/>
      <c r="L47" s="1439">
        <v>1</v>
      </c>
      <c r="M47" s="1440"/>
      <c r="N47" s="1440"/>
      <c r="O47" s="1440"/>
      <c r="P47" s="1440"/>
      <c r="Q47" s="1440">
        <f t="shared" si="21"/>
        <v>1411</v>
      </c>
      <c r="R47" s="1440">
        <f>-'[22]Total_Scholarship Only_byLEA'!F56</f>
        <v>0</v>
      </c>
      <c r="S47" s="1443">
        <f t="shared" si="22"/>
        <v>1411</v>
      </c>
      <c r="T47" s="1295"/>
      <c r="U47" s="1295"/>
      <c r="V47" s="1451"/>
      <c r="W47" s="1451"/>
      <c r="X47" s="1451"/>
      <c r="Y47" s="1451"/>
      <c r="Z47" s="1451"/>
      <c r="AA47" s="1451"/>
      <c r="AB47" s="1451"/>
      <c r="AC47" s="1451"/>
      <c r="AD47" s="1451"/>
      <c r="AE47" s="1451"/>
      <c r="AF47" s="1447">
        <f t="shared" si="20"/>
        <v>1411</v>
      </c>
      <c r="AG47" s="1465"/>
      <c r="AH47" s="1466"/>
      <c r="AI47" s="1466"/>
      <c r="AJ47" s="1466"/>
      <c r="AK47" s="1467"/>
    </row>
    <row r="48" spans="1:37" ht="12.75" customHeight="1">
      <c r="A48" s="1294" t="s">
        <v>315</v>
      </c>
      <c r="B48" s="1294" t="s">
        <v>837</v>
      </c>
      <c r="C48" s="1439">
        <v>3436</v>
      </c>
      <c r="D48" s="1440"/>
      <c r="E48" s="1440"/>
      <c r="F48" s="1440"/>
      <c r="G48" s="1440"/>
      <c r="H48" s="1440"/>
      <c r="I48" s="1440"/>
      <c r="J48" s="1439">
        <v>7</v>
      </c>
      <c r="K48" s="1440"/>
      <c r="L48" s="1439">
        <v>5</v>
      </c>
      <c r="M48" s="1440"/>
      <c r="N48" s="1440"/>
      <c r="O48" s="1440"/>
      <c r="P48" s="1440"/>
      <c r="Q48" s="1440">
        <f t="shared" si="21"/>
        <v>3448</v>
      </c>
      <c r="R48" s="1440">
        <f>-'[22]Total_Scholarship Only_byLEA'!F57</f>
        <v>-6</v>
      </c>
      <c r="S48" s="1443">
        <f t="shared" si="22"/>
        <v>3442</v>
      </c>
      <c r="T48" s="1295"/>
      <c r="U48" s="1295"/>
      <c r="V48" s="1452">
        <v>5</v>
      </c>
      <c r="W48" s="1451"/>
      <c r="X48" s="1451"/>
      <c r="Y48" s="1451"/>
      <c r="Z48" s="1452">
        <v>415</v>
      </c>
      <c r="AA48" s="1451"/>
      <c r="AB48" s="1451"/>
      <c r="AC48" s="1451"/>
      <c r="AD48" s="1451"/>
      <c r="AE48" s="1451"/>
      <c r="AF48" s="1447">
        <f t="shared" si="20"/>
        <v>3862</v>
      </c>
      <c r="AG48" s="1465"/>
      <c r="AH48" s="1466"/>
      <c r="AI48" s="1466"/>
      <c r="AJ48" s="1468"/>
      <c r="AK48" s="1467"/>
    </row>
    <row r="49" spans="1:37" ht="12.75" customHeight="1">
      <c r="A49" s="1294" t="s">
        <v>838</v>
      </c>
      <c r="B49" s="1294" t="s">
        <v>839</v>
      </c>
      <c r="C49" s="1439">
        <v>4011</v>
      </c>
      <c r="D49" s="1440"/>
      <c r="E49" s="1440"/>
      <c r="F49" s="1440"/>
      <c r="G49" s="1440"/>
      <c r="H49" s="1440"/>
      <c r="I49" s="1440"/>
      <c r="J49" s="1439">
        <v>6</v>
      </c>
      <c r="K49" s="1440"/>
      <c r="L49" s="1439">
        <v>6</v>
      </c>
      <c r="M49" s="1440"/>
      <c r="N49" s="1440"/>
      <c r="O49" s="1440"/>
      <c r="P49" s="1440"/>
      <c r="Q49" s="1440">
        <f t="shared" si="21"/>
        <v>4023</v>
      </c>
      <c r="R49" s="1440">
        <f>-'[22]Total_Scholarship Only_byLEA'!F58</f>
        <v>0</v>
      </c>
      <c r="S49" s="1443">
        <f t="shared" si="22"/>
        <v>4023</v>
      </c>
      <c r="T49" s="1295"/>
      <c r="U49" s="1295"/>
      <c r="V49" s="1451"/>
      <c r="W49" s="1451"/>
      <c r="X49" s="1451"/>
      <c r="Y49" s="1451"/>
      <c r="Z49" s="1451"/>
      <c r="AA49" s="1451"/>
      <c r="AB49" s="1451"/>
      <c r="AC49" s="1451"/>
      <c r="AD49" s="1452">
        <v>5</v>
      </c>
      <c r="AE49" s="1451"/>
      <c r="AF49" s="1447">
        <f t="shared" si="20"/>
        <v>4028</v>
      </c>
      <c r="AG49" s="1465"/>
      <c r="AH49" s="1466"/>
      <c r="AI49" s="1466"/>
      <c r="AJ49" s="1466"/>
      <c r="AK49" s="1467"/>
    </row>
    <row r="50" spans="1:37" ht="12.75" customHeight="1">
      <c r="A50" s="1294" t="s">
        <v>316</v>
      </c>
      <c r="B50" s="1294" t="s">
        <v>840</v>
      </c>
      <c r="C50" s="1439">
        <v>6379</v>
      </c>
      <c r="D50" s="1440"/>
      <c r="E50" s="1440"/>
      <c r="F50" s="1440"/>
      <c r="G50" s="1440"/>
      <c r="H50" s="1440"/>
      <c r="I50" s="1440"/>
      <c r="J50" s="1439">
        <v>3</v>
      </c>
      <c r="K50" s="1439">
        <v>4</v>
      </c>
      <c r="L50" s="1439">
        <v>9</v>
      </c>
      <c r="M50" s="1440"/>
      <c r="N50" s="1439">
        <v>2</v>
      </c>
      <c r="O50" s="1439">
        <v>2</v>
      </c>
      <c r="P50" s="1440"/>
      <c r="Q50" s="1440">
        <f t="shared" si="21"/>
        <v>6399</v>
      </c>
      <c r="R50" s="1440">
        <f>-'[22]Total_Scholarship Only_byLEA'!F59</f>
        <v>-19</v>
      </c>
      <c r="S50" s="1443">
        <f t="shared" si="22"/>
        <v>6380</v>
      </c>
      <c r="T50" s="1295"/>
      <c r="U50" s="1295"/>
      <c r="V50" s="1451"/>
      <c r="W50" s="1451"/>
      <c r="X50" s="1452">
        <v>14</v>
      </c>
      <c r="Y50" s="1451"/>
      <c r="Z50" s="1451"/>
      <c r="AA50" s="1452">
        <v>3</v>
      </c>
      <c r="AB50" s="1452">
        <v>1</v>
      </c>
      <c r="AC50" s="1451"/>
      <c r="AD50" s="1452">
        <v>2</v>
      </c>
      <c r="AE50" s="1452">
        <v>3</v>
      </c>
      <c r="AF50" s="1447">
        <f t="shared" si="20"/>
        <v>6403</v>
      </c>
      <c r="AG50" s="1465"/>
      <c r="AH50" s="1466"/>
      <c r="AI50" s="1466"/>
      <c r="AJ50" s="1466"/>
      <c r="AK50" s="1467"/>
    </row>
    <row r="51" spans="1:37" ht="12.75" customHeight="1">
      <c r="A51" s="1294" t="s">
        <v>317</v>
      </c>
      <c r="B51" s="1294" t="s">
        <v>841</v>
      </c>
      <c r="C51" s="1439">
        <v>9474</v>
      </c>
      <c r="D51" s="1440"/>
      <c r="E51" s="1440"/>
      <c r="F51" s="1440"/>
      <c r="G51" s="1440"/>
      <c r="H51" s="1440"/>
      <c r="I51" s="1440"/>
      <c r="J51" s="1439">
        <v>2</v>
      </c>
      <c r="K51" s="1439">
        <v>2</v>
      </c>
      <c r="L51" s="1439">
        <v>19</v>
      </c>
      <c r="M51" s="1440"/>
      <c r="N51" s="1439">
        <v>1</v>
      </c>
      <c r="O51" s="1440"/>
      <c r="P51" s="1440"/>
      <c r="Q51" s="1440">
        <f t="shared" si="21"/>
        <v>9498</v>
      </c>
      <c r="R51" s="1440">
        <f>-'[22]Total_Scholarship Only_byLEA'!F60</f>
        <v>-20</v>
      </c>
      <c r="S51" s="1443">
        <f t="shared" si="22"/>
        <v>9478</v>
      </c>
      <c r="T51" s="1295"/>
      <c r="U51" s="1295"/>
      <c r="V51" s="1451"/>
      <c r="W51" s="1451"/>
      <c r="X51" s="1452">
        <v>5</v>
      </c>
      <c r="Y51" s="1451"/>
      <c r="Z51" s="1451"/>
      <c r="AA51" s="1452">
        <v>1</v>
      </c>
      <c r="AB51" s="1451"/>
      <c r="AC51" s="1452">
        <v>2</v>
      </c>
      <c r="AD51" s="1452">
        <v>5</v>
      </c>
      <c r="AE51" s="1452">
        <v>5</v>
      </c>
      <c r="AF51" s="1447">
        <f t="shared" si="20"/>
        <v>9496</v>
      </c>
      <c r="AG51" s="1465"/>
      <c r="AH51" s="1468"/>
      <c r="AI51" s="1466"/>
      <c r="AJ51" s="1466"/>
      <c r="AK51" s="1467"/>
    </row>
    <row r="52" spans="1:37" ht="12.75" customHeight="1">
      <c r="A52" s="1294" t="s">
        <v>318</v>
      </c>
      <c r="B52" s="1294" t="s">
        <v>842</v>
      </c>
      <c r="C52" s="1439">
        <v>746</v>
      </c>
      <c r="D52" s="1440"/>
      <c r="E52" s="1440"/>
      <c r="F52" s="1439">
        <v>316</v>
      </c>
      <c r="G52" s="1440"/>
      <c r="H52" s="1440"/>
      <c r="I52" s="1440"/>
      <c r="J52" s="1439">
        <v>9</v>
      </c>
      <c r="K52" s="1440"/>
      <c r="L52" s="1439">
        <v>5</v>
      </c>
      <c r="M52" s="1440"/>
      <c r="N52" s="1440"/>
      <c r="O52" s="1440"/>
      <c r="P52" s="1440"/>
      <c r="Q52" s="1440">
        <f t="shared" si="21"/>
        <v>1076</v>
      </c>
      <c r="R52" s="1440">
        <f>-'[22]Total_Scholarship Only_byLEA'!F61</f>
        <v>0</v>
      </c>
      <c r="S52" s="1443">
        <f t="shared" si="22"/>
        <v>1076</v>
      </c>
      <c r="T52" s="1295"/>
      <c r="U52" s="1295"/>
      <c r="V52" s="1451"/>
      <c r="W52" s="1451"/>
      <c r="X52" s="1451"/>
      <c r="Y52" s="1451"/>
      <c r="Z52" s="1451"/>
      <c r="AA52" s="1451"/>
      <c r="AB52" s="1451"/>
      <c r="AC52" s="1451"/>
      <c r="AD52" s="1451"/>
      <c r="AE52" s="1451"/>
      <c r="AF52" s="1447">
        <f t="shared" si="20"/>
        <v>1076</v>
      </c>
      <c r="AG52" s="1465"/>
      <c r="AH52" s="1466"/>
      <c r="AI52" s="1466"/>
      <c r="AJ52" s="1466"/>
      <c r="AK52" s="1467"/>
    </row>
    <row r="53" spans="1:37" ht="12.75" customHeight="1">
      <c r="A53" s="1294" t="s">
        <v>319</v>
      </c>
      <c r="B53" s="1294" t="s">
        <v>843</v>
      </c>
      <c r="C53" s="1439">
        <v>3624</v>
      </c>
      <c r="D53" s="1440"/>
      <c r="E53" s="1440"/>
      <c r="F53" s="1440"/>
      <c r="G53" s="1440"/>
      <c r="H53" s="1440"/>
      <c r="I53" s="1440"/>
      <c r="J53" s="1439">
        <v>2</v>
      </c>
      <c r="K53" s="1440"/>
      <c r="L53" s="1439">
        <v>1</v>
      </c>
      <c r="M53" s="1440"/>
      <c r="N53" s="1440"/>
      <c r="O53" s="1440"/>
      <c r="P53" s="1440"/>
      <c r="Q53" s="1440">
        <f t="shared" si="21"/>
        <v>3627</v>
      </c>
      <c r="R53" s="1440">
        <f>-'[22]Total_Scholarship Only_byLEA'!F62</f>
        <v>-6</v>
      </c>
      <c r="S53" s="1443">
        <f t="shared" si="22"/>
        <v>3621</v>
      </c>
      <c r="T53" s="1295"/>
      <c r="U53" s="1295"/>
      <c r="V53" s="1451"/>
      <c r="W53" s="1451"/>
      <c r="X53" s="1451"/>
      <c r="Y53" s="1451"/>
      <c r="Z53" s="1451"/>
      <c r="AA53" s="1451"/>
      <c r="AB53" s="1451"/>
      <c r="AC53" s="1452">
        <v>3</v>
      </c>
      <c r="AD53" s="1452">
        <v>3</v>
      </c>
      <c r="AE53" s="1451"/>
      <c r="AF53" s="1447">
        <f t="shared" si="20"/>
        <v>3627</v>
      </c>
      <c r="AG53" s="1465"/>
      <c r="AH53" s="1466"/>
      <c r="AI53" s="1466"/>
      <c r="AJ53" s="1466"/>
      <c r="AK53" s="1467"/>
    </row>
    <row r="54" spans="1:37" ht="12.75" customHeight="1">
      <c r="A54" s="1294" t="s">
        <v>320</v>
      </c>
      <c r="B54" s="1294" t="s">
        <v>844</v>
      </c>
      <c r="C54" s="1439">
        <v>5961</v>
      </c>
      <c r="D54" s="1440"/>
      <c r="E54" s="1440"/>
      <c r="F54" s="1440"/>
      <c r="G54" s="1440"/>
      <c r="H54" s="1440"/>
      <c r="I54" s="1440"/>
      <c r="J54" s="1439">
        <v>29</v>
      </c>
      <c r="K54" s="1439">
        <v>2</v>
      </c>
      <c r="L54" s="1439">
        <v>18</v>
      </c>
      <c r="M54" s="1440"/>
      <c r="N54" s="1440"/>
      <c r="O54" s="1440"/>
      <c r="P54" s="1440"/>
      <c r="Q54" s="1440">
        <f t="shared" si="21"/>
        <v>6010</v>
      </c>
      <c r="R54" s="1440">
        <f>-'[22]Total_Scholarship Only_byLEA'!F63</f>
        <v>-206</v>
      </c>
      <c r="S54" s="1443">
        <f t="shared" si="22"/>
        <v>5804</v>
      </c>
      <c r="T54" s="1295"/>
      <c r="U54" s="1295"/>
      <c r="V54" s="1451"/>
      <c r="W54" s="1451"/>
      <c r="X54" s="1452">
        <v>7</v>
      </c>
      <c r="Y54" s="1451"/>
      <c r="Z54" s="1451"/>
      <c r="AA54" s="1451"/>
      <c r="AB54" s="1451"/>
      <c r="AC54" s="1451"/>
      <c r="AD54" s="1452">
        <v>2</v>
      </c>
      <c r="AE54" s="1452">
        <v>1</v>
      </c>
      <c r="AF54" s="1447">
        <f t="shared" si="20"/>
        <v>5814</v>
      </c>
      <c r="AG54" s="1465"/>
      <c r="AH54" s="1466"/>
      <c r="AI54" s="1468"/>
      <c r="AJ54" s="1466"/>
      <c r="AK54" s="1467"/>
    </row>
    <row r="55" spans="1:37" ht="12.75" customHeight="1">
      <c r="A55" s="1294" t="s">
        <v>321</v>
      </c>
      <c r="B55" s="1294" t="s">
        <v>845</v>
      </c>
      <c r="C55" s="1439">
        <v>14311</v>
      </c>
      <c r="D55" s="1440"/>
      <c r="E55" s="1440"/>
      <c r="F55" s="1440"/>
      <c r="G55" s="1440"/>
      <c r="H55" s="1440"/>
      <c r="I55" s="1440"/>
      <c r="J55" s="1439">
        <v>47</v>
      </c>
      <c r="K55" s="1440"/>
      <c r="L55" s="1439">
        <v>32</v>
      </c>
      <c r="M55" s="1440"/>
      <c r="N55" s="1440"/>
      <c r="O55" s="1440"/>
      <c r="P55" s="1439">
        <v>167</v>
      </c>
      <c r="Q55" s="1439">
        <f t="shared" si="21"/>
        <v>14557</v>
      </c>
      <c r="R55" s="1439">
        <f>-'[22]Total_Scholarship Only_byLEA'!F64</f>
        <v>-63</v>
      </c>
      <c r="S55" s="1444">
        <f t="shared" si="22"/>
        <v>14494</v>
      </c>
      <c r="T55" s="1295"/>
      <c r="U55" s="1295"/>
      <c r="V55" s="1451"/>
      <c r="W55" s="1451"/>
      <c r="X55" s="1451"/>
      <c r="Y55" s="1452">
        <v>2</v>
      </c>
      <c r="Z55" s="1451"/>
      <c r="AA55" s="1451"/>
      <c r="AB55" s="1451"/>
      <c r="AC55" s="1451"/>
      <c r="AD55" s="1452">
        <v>5</v>
      </c>
      <c r="AE55" s="1451"/>
      <c r="AF55" s="1447">
        <f t="shared" si="20"/>
        <v>14501</v>
      </c>
      <c r="AG55" s="1465"/>
      <c r="AH55" s="1468"/>
      <c r="AI55" s="1468"/>
      <c r="AJ55" s="1468"/>
      <c r="AK55" s="1467"/>
    </row>
    <row r="56" spans="1:37" ht="12.75" customHeight="1">
      <c r="A56" s="1294" t="s">
        <v>322</v>
      </c>
      <c r="B56" s="1294" t="s">
        <v>846</v>
      </c>
      <c r="C56" s="1439">
        <v>7891</v>
      </c>
      <c r="D56" s="1440"/>
      <c r="E56" s="1440"/>
      <c r="F56" s="1440"/>
      <c r="G56" s="1440"/>
      <c r="H56" s="1440"/>
      <c r="I56" s="1440"/>
      <c r="J56" s="1439">
        <v>10</v>
      </c>
      <c r="K56" s="1440"/>
      <c r="L56" s="1439">
        <v>11</v>
      </c>
      <c r="M56" s="1440"/>
      <c r="N56" s="1440"/>
      <c r="O56" s="1440"/>
      <c r="P56" s="1440"/>
      <c r="Q56" s="1440">
        <f t="shared" si="21"/>
        <v>7912</v>
      </c>
      <c r="R56" s="1440">
        <f>-'[22]Total_Scholarship Only_byLEA'!F65</f>
        <v>-25</v>
      </c>
      <c r="S56" s="1443">
        <f t="shared" si="22"/>
        <v>7887</v>
      </c>
      <c r="T56" s="1295"/>
      <c r="U56" s="1295"/>
      <c r="V56" s="1451"/>
      <c r="W56" s="1451"/>
      <c r="X56" s="1451"/>
      <c r="Y56" s="1451"/>
      <c r="Z56" s="1451"/>
      <c r="AA56" s="1451"/>
      <c r="AB56" s="1451"/>
      <c r="AC56" s="1451"/>
      <c r="AD56" s="1452">
        <v>4</v>
      </c>
      <c r="AE56" s="1451"/>
      <c r="AF56" s="1447">
        <f t="shared" si="20"/>
        <v>7891</v>
      </c>
      <c r="AG56" s="1465"/>
      <c r="AH56" s="1466"/>
      <c r="AI56" s="1468"/>
      <c r="AJ56" s="1466"/>
      <c r="AK56" s="1467"/>
    </row>
    <row r="57" spans="1:37" ht="12.75" customHeight="1">
      <c r="A57" s="1294" t="s">
        <v>323</v>
      </c>
      <c r="B57" s="1294" t="s">
        <v>847</v>
      </c>
      <c r="C57" s="1439">
        <v>8999</v>
      </c>
      <c r="D57" s="1440"/>
      <c r="E57" s="1440"/>
      <c r="F57" s="1440"/>
      <c r="G57" s="1440"/>
      <c r="H57" s="1440"/>
      <c r="I57" s="1440"/>
      <c r="J57" s="1439">
        <v>1</v>
      </c>
      <c r="K57" s="1440"/>
      <c r="L57" s="1439">
        <v>1</v>
      </c>
      <c r="M57" s="1440"/>
      <c r="N57" s="1440"/>
      <c r="O57" s="1440"/>
      <c r="P57" s="1440"/>
      <c r="Q57" s="1440">
        <f t="shared" si="21"/>
        <v>9001</v>
      </c>
      <c r="R57" s="1440">
        <f>-'[22]Total_Scholarship Only_byLEA'!F66</f>
        <v>-4</v>
      </c>
      <c r="S57" s="1443">
        <f t="shared" si="22"/>
        <v>8997</v>
      </c>
      <c r="T57" s="1295"/>
      <c r="U57" s="1295"/>
      <c r="V57" s="1451"/>
      <c r="W57" s="1452">
        <v>287</v>
      </c>
      <c r="X57" s="1451"/>
      <c r="Y57" s="1451"/>
      <c r="Z57" s="1451"/>
      <c r="AA57" s="1451"/>
      <c r="AB57" s="1451"/>
      <c r="AC57" s="1452">
        <v>2</v>
      </c>
      <c r="AD57" s="1452">
        <v>3</v>
      </c>
      <c r="AE57" s="1451"/>
      <c r="AF57" s="1447">
        <f t="shared" si="20"/>
        <v>9289</v>
      </c>
      <c r="AG57" s="1465"/>
      <c r="AH57" s="1466"/>
      <c r="AI57" s="1468"/>
      <c r="AJ57" s="1466"/>
      <c r="AK57" s="1467"/>
    </row>
    <row r="58" spans="1:37" ht="12.75" customHeight="1">
      <c r="A58" s="1294" t="s">
        <v>324</v>
      </c>
      <c r="B58" s="1294" t="s">
        <v>848</v>
      </c>
      <c r="C58" s="1439">
        <v>36940</v>
      </c>
      <c r="D58" s="1440"/>
      <c r="E58" s="1440"/>
      <c r="F58" s="1440"/>
      <c r="G58" s="1440"/>
      <c r="H58" s="1440"/>
      <c r="I58" s="1440"/>
      <c r="J58" s="1439">
        <v>68</v>
      </c>
      <c r="K58" s="1439">
        <v>3</v>
      </c>
      <c r="L58" s="1439">
        <v>107</v>
      </c>
      <c r="M58" s="1440"/>
      <c r="N58" s="1439">
        <v>1</v>
      </c>
      <c r="O58" s="1440"/>
      <c r="P58" s="1440"/>
      <c r="Q58" s="1440">
        <f t="shared" si="21"/>
        <v>37119</v>
      </c>
      <c r="R58" s="1440">
        <f>-'[22]Total_Scholarship Only_byLEA'!F67</f>
        <v>-41</v>
      </c>
      <c r="S58" s="1443">
        <f t="shared" si="22"/>
        <v>37078</v>
      </c>
      <c r="T58" s="1295"/>
      <c r="U58" s="1295"/>
      <c r="V58" s="1451"/>
      <c r="W58" s="1451"/>
      <c r="X58" s="1452">
        <v>12</v>
      </c>
      <c r="Y58" s="1451"/>
      <c r="Z58" s="1451"/>
      <c r="AA58" s="1452">
        <v>3</v>
      </c>
      <c r="AB58" s="1451"/>
      <c r="AC58" s="1451"/>
      <c r="AD58" s="1452">
        <v>18</v>
      </c>
      <c r="AE58" s="1452">
        <v>14</v>
      </c>
      <c r="AF58" s="1447">
        <f t="shared" si="20"/>
        <v>37125</v>
      </c>
      <c r="AG58" s="1465"/>
      <c r="AH58" s="1466"/>
      <c r="AI58" s="1468"/>
      <c r="AJ58" s="1466"/>
      <c r="AK58" s="1467"/>
    </row>
    <row r="59" spans="1:37" ht="12.75" customHeight="1">
      <c r="A59" s="1294" t="s">
        <v>325</v>
      </c>
      <c r="B59" s="1294" t="s">
        <v>849</v>
      </c>
      <c r="C59" s="1439">
        <v>19088</v>
      </c>
      <c r="D59" s="1440"/>
      <c r="E59" s="1440"/>
      <c r="F59" s="1440"/>
      <c r="G59" s="1440"/>
      <c r="H59" s="1440"/>
      <c r="I59" s="1440"/>
      <c r="J59" s="1439">
        <v>51</v>
      </c>
      <c r="K59" s="1440"/>
      <c r="L59" s="1439">
        <v>55</v>
      </c>
      <c r="M59" s="1440"/>
      <c r="N59" s="1440"/>
      <c r="O59" s="1440"/>
      <c r="P59" s="1440"/>
      <c r="Q59" s="1440">
        <f t="shared" si="21"/>
        <v>19194</v>
      </c>
      <c r="R59" s="1440">
        <f>-'[22]Total_Scholarship Only_byLEA'!F68</f>
        <v>-49</v>
      </c>
      <c r="S59" s="1443">
        <f t="shared" si="22"/>
        <v>19145</v>
      </c>
      <c r="T59" s="1295"/>
      <c r="U59" s="1295"/>
      <c r="V59" s="1451"/>
      <c r="W59" s="1451"/>
      <c r="X59" s="1451"/>
      <c r="Y59" s="1451"/>
      <c r="Z59" s="1451"/>
      <c r="AA59" s="1451"/>
      <c r="AB59" s="1451"/>
      <c r="AC59" s="1451"/>
      <c r="AD59" s="1452">
        <v>7</v>
      </c>
      <c r="AE59" s="1452">
        <v>1</v>
      </c>
      <c r="AF59" s="1447">
        <f t="shared" si="20"/>
        <v>19153</v>
      </c>
      <c r="AG59" s="1465"/>
      <c r="AH59" s="1468"/>
      <c r="AI59" s="1466"/>
      <c r="AJ59" s="1466"/>
      <c r="AK59" s="1467"/>
    </row>
    <row r="60" spans="1:37" ht="12.75" customHeight="1">
      <c r="A60" s="1294" t="s">
        <v>850</v>
      </c>
      <c r="B60" s="1294" t="s">
        <v>851</v>
      </c>
      <c r="C60" s="1439">
        <v>677</v>
      </c>
      <c r="D60" s="1440"/>
      <c r="E60" s="1440"/>
      <c r="F60" s="1440"/>
      <c r="G60" s="1440"/>
      <c r="H60" s="1440"/>
      <c r="I60" s="1440"/>
      <c r="J60" s="1440"/>
      <c r="K60" s="1440"/>
      <c r="L60" s="1439">
        <v>5</v>
      </c>
      <c r="M60" s="1440"/>
      <c r="N60" s="1440"/>
      <c r="O60" s="1440"/>
      <c r="P60" s="1440"/>
      <c r="Q60" s="1440">
        <f t="shared" si="21"/>
        <v>682</v>
      </c>
      <c r="R60" s="1440">
        <f>-'[22]Total_Scholarship Only_byLEA'!F69</f>
        <v>0</v>
      </c>
      <c r="S60" s="1443">
        <f t="shared" si="22"/>
        <v>682</v>
      </c>
      <c r="T60" s="1295"/>
      <c r="U60" s="1295"/>
      <c r="V60" s="1451"/>
      <c r="W60" s="1451"/>
      <c r="X60" s="1451"/>
      <c r="Y60" s="1451"/>
      <c r="Z60" s="1452">
        <v>3</v>
      </c>
      <c r="AA60" s="1451"/>
      <c r="AB60" s="1451"/>
      <c r="AC60" s="1451"/>
      <c r="AD60" s="1451"/>
      <c r="AE60" s="1451"/>
      <c r="AF60" s="1447">
        <f t="shared" si="20"/>
        <v>685</v>
      </c>
      <c r="AG60" s="1465"/>
      <c r="AH60" s="1466"/>
      <c r="AI60" s="1466"/>
      <c r="AJ60" s="1468"/>
      <c r="AK60" s="1467"/>
    </row>
    <row r="61" spans="1:37" ht="12.75" customHeight="1">
      <c r="A61" s="1294" t="s">
        <v>326</v>
      </c>
      <c r="B61" s="1294" t="s">
        <v>852</v>
      </c>
      <c r="C61" s="1439">
        <v>17716</v>
      </c>
      <c r="D61" s="1440"/>
      <c r="E61" s="1440"/>
      <c r="F61" s="1440"/>
      <c r="G61" s="1440"/>
      <c r="H61" s="1440"/>
      <c r="I61" s="1440"/>
      <c r="J61" s="1439">
        <v>21</v>
      </c>
      <c r="K61" s="1440"/>
      <c r="L61" s="1439">
        <v>39</v>
      </c>
      <c r="M61" s="1440"/>
      <c r="N61" s="1440"/>
      <c r="O61" s="1440"/>
      <c r="P61" s="1440"/>
      <c r="Q61" s="1440">
        <f t="shared" si="21"/>
        <v>17776</v>
      </c>
      <c r="R61" s="1440">
        <f>-'[22]Total_Scholarship Only_byLEA'!F70</f>
        <v>-20</v>
      </c>
      <c r="S61" s="1443">
        <f t="shared" si="22"/>
        <v>17756</v>
      </c>
      <c r="T61" s="1295"/>
      <c r="U61" s="1295"/>
      <c r="V61" s="1451"/>
      <c r="W61" s="1451"/>
      <c r="X61" s="1451"/>
      <c r="Y61" s="1451"/>
      <c r="Z61" s="1451"/>
      <c r="AA61" s="1451"/>
      <c r="AB61" s="1451"/>
      <c r="AC61" s="1452">
        <v>43</v>
      </c>
      <c r="AD61" s="1452">
        <v>11</v>
      </c>
      <c r="AE61" s="1452">
        <v>1</v>
      </c>
      <c r="AF61" s="1447">
        <f t="shared" si="20"/>
        <v>17811</v>
      </c>
      <c r="AG61" s="1465"/>
      <c r="AH61" s="1468"/>
      <c r="AI61" s="1468"/>
      <c r="AJ61" s="1468"/>
      <c r="AK61" s="1467"/>
    </row>
    <row r="62" spans="1:37" ht="12.75" customHeight="1">
      <c r="A62" s="1294" t="s">
        <v>327</v>
      </c>
      <c r="B62" s="1294" t="s">
        <v>853</v>
      </c>
      <c r="C62" s="1439">
        <v>2329</v>
      </c>
      <c r="D62" s="1440"/>
      <c r="E62" s="1440"/>
      <c r="F62" s="1440"/>
      <c r="G62" s="1440"/>
      <c r="H62" s="1439">
        <v>531</v>
      </c>
      <c r="I62" s="1440"/>
      <c r="J62" s="1439">
        <v>7</v>
      </c>
      <c r="K62" s="1440"/>
      <c r="L62" s="1439">
        <v>5</v>
      </c>
      <c r="M62" s="1440"/>
      <c r="N62" s="1440"/>
      <c r="O62" s="1440"/>
      <c r="P62" s="1440"/>
      <c r="Q62" s="1440">
        <f t="shared" si="21"/>
        <v>2872</v>
      </c>
      <c r="R62" s="1440">
        <f>-'[22]Total_Scholarship Only_byLEA'!F71</f>
        <v>-13</v>
      </c>
      <c r="S62" s="1443">
        <f t="shared" si="22"/>
        <v>2859</v>
      </c>
      <c r="T62" s="1295"/>
      <c r="U62" s="1295"/>
      <c r="V62" s="1451"/>
      <c r="W62" s="1451"/>
      <c r="X62" s="1451"/>
      <c r="Y62" s="1451"/>
      <c r="Z62" s="1451"/>
      <c r="AA62" s="1451"/>
      <c r="AB62" s="1451"/>
      <c r="AC62" s="1451"/>
      <c r="AD62" s="1452">
        <v>4</v>
      </c>
      <c r="AE62" s="1451"/>
      <c r="AF62" s="1447">
        <f t="shared" si="20"/>
        <v>2863</v>
      </c>
      <c r="AG62" s="1465"/>
      <c r="AH62" s="1466"/>
      <c r="AI62" s="1466"/>
      <c r="AJ62" s="1466"/>
      <c r="AK62" s="1467"/>
    </row>
    <row r="63" spans="1:37" ht="12.75" customHeight="1">
      <c r="A63" s="1294" t="s">
        <v>328</v>
      </c>
      <c r="B63" s="1294" t="s">
        <v>854</v>
      </c>
      <c r="C63" s="1439">
        <v>9039</v>
      </c>
      <c r="D63" s="1440"/>
      <c r="E63" s="1440"/>
      <c r="F63" s="1440"/>
      <c r="G63" s="1440"/>
      <c r="H63" s="1440"/>
      <c r="I63" s="1440"/>
      <c r="J63" s="1439">
        <v>10</v>
      </c>
      <c r="K63" s="1440"/>
      <c r="L63" s="1439">
        <v>6</v>
      </c>
      <c r="M63" s="1440"/>
      <c r="N63" s="1440"/>
      <c r="O63" s="1440"/>
      <c r="P63" s="1440"/>
      <c r="Q63" s="1440">
        <f t="shared" si="21"/>
        <v>9055</v>
      </c>
      <c r="R63" s="1440">
        <f>-'[22]Total_Scholarship Only_byLEA'!F72</f>
        <v>-8</v>
      </c>
      <c r="S63" s="1443">
        <f t="shared" si="22"/>
        <v>9047</v>
      </c>
      <c r="T63" s="1295"/>
      <c r="U63" s="1295"/>
      <c r="V63" s="1451"/>
      <c r="W63" s="1451"/>
      <c r="X63" s="1451"/>
      <c r="Y63" s="1451"/>
      <c r="Z63" s="1451"/>
      <c r="AA63" s="1451"/>
      <c r="AB63" s="1451"/>
      <c r="AC63" s="1451"/>
      <c r="AD63" s="1452">
        <v>4</v>
      </c>
      <c r="AE63" s="1451"/>
      <c r="AF63" s="1447">
        <f t="shared" si="20"/>
        <v>9051</v>
      </c>
      <c r="AG63" s="1465"/>
      <c r="AH63" s="1468"/>
      <c r="AI63" s="1468"/>
      <c r="AJ63" s="1466"/>
      <c r="AK63" s="1467"/>
    </row>
    <row r="64" spans="1:37" ht="12.75" customHeight="1">
      <c r="A64" s="1294" t="s">
        <v>855</v>
      </c>
      <c r="B64" s="1294" t="s">
        <v>856</v>
      </c>
      <c r="C64" s="1439">
        <v>9032</v>
      </c>
      <c r="D64" s="1440"/>
      <c r="E64" s="1440"/>
      <c r="F64" s="1440"/>
      <c r="G64" s="1440"/>
      <c r="H64" s="1440"/>
      <c r="I64" s="1440"/>
      <c r="J64" s="1439">
        <v>30</v>
      </c>
      <c r="K64" s="1440"/>
      <c r="L64" s="1439">
        <v>28</v>
      </c>
      <c r="M64" s="1440"/>
      <c r="N64" s="1440"/>
      <c r="O64" s="1440"/>
      <c r="P64" s="1440"/>
      <c r="Q64" s="1440">
        <f t="shared" si="21"/>
        <v>9090</v>
      </c>
      <c r="R64" s="1440">
        <f>-'[22]Total_Scholarship Only_byLEA'!F73</f>
        <v>0</v>
      </c>
      <c r="S64" s="1443">
        <f t="shared" si="22"/>
        <v>9090</v>
      </c>
      <c r="T64" s="1295"/>
      <c r="U64" s="1295"/>
      <c r="V64" s="1451"/>
      <c r="W64" s="1451"/>
      <c r="X64" s="1451"/>
      <c r="Y64" s="1451"/>
      <c r="Z64" s="1451"/>
      <c r="AA64" s="1451"/>
      <c r="AB64" s="1451"/>
      <c r="AC64" s="1451"/>
      <c r="AD64" s="1452">
        <v>13</v>
      </c>
      <c r="AE64" s="1451"/>
      <c r="AF64" s="1447">
        <f t="shared" si="20"/>
        <v>9103</v>
      </c>
      <c r="AG64" s="1465"/>
      <c r="AH64" s="1466"/>
      <c r="AI64" s="1466"/>
      <c r="AJ64" s="1466"/>
      <c r="AK64" s="1467"/>
    </row>
    <row r="65" spans="1:37" ht="12.75" customHeight="1">
      <c r="A65" s="1294" t="s">
        <v>329</v>
      </c>
      <c r="B65" s="1294" t="s">
        <v>857</v>
      </c>
      <c r="C65" s="1439">
        <v>5222</v>
      </c>
      <c r="D65" s="1440"/>
      <c r="E65" s="1440"/>
      <c r="F65" s="1440"/>
      <c r="G65" s="1440"/>
      <c r="H65" s="1440"/>
      <c r="I65" s="1440"/>
      <c r="J65" s="1439">
        <v>13</v>
      </c>
      <c r="K65" s="1440"/>
      <c r="L65" s="1439">
        <v>14</v>
      </c>
      <c r="M65" s="1440"/>
      <c r="N65" s="1440"/>
      <c r="O65" s="1440"/>
      <c r="P65" s="1440"/>
      <c r="Q65" s="1440">
        <f t="shared" si="21"/>
        <v>5249</v>
      </c>
      <c r="R65" s="1440">
        <f>-'[22]Total_Scholarship Only_byLEA'!F74</f>
        <v>-2</v>
      </c>
      <c r="S65" s="1443">
        <f t="shared" si="22"/>
        <v>5247</v>
      </c>
      <c r="T65" s="1295"/>
      <c r="U65" s="1295"/>
      <c r="V65" s="1451"/>
      <c r="W65" s="1451"/>
      <c r="X65" s="1451"/>
      <c r="Y65" s="1451"/>
      <c r="Z65" s="1451"/>
      <c r="AA65" s="1451"/>
      <c r="AB65" s="1451"/>
      <c r="AC65" s="1451"/>
      <c r="AD65" s="1451"/>
      <c r="AE65" s="1452">
        <v>1</v>
      </c>
      <c r="AF65" s="1447">
        <f t="shared" si="20"/>
        <v>5248</v>
      </c>
      <c r="AG65" s="1465"/>
      <c r="AH65" s="1466"/>
      <c r="AI65" s="1468"/>
      <c r="AJ65" s="1466"/>
      <c r="AK65" s="1467"/>
    </row>
    <row r="66" spans="1:37" ht="12.75" customHeight="1">
      <c r="A66" s="1294" t="s">
        <v>858</v>
      </c>
      <c r="B66" s="1294" t="s">
        <v>859</v>
      </c>
      <c r="C66" s="1439">
        <v>6450</v>
      </c>
      <c r="D66" s="1440"/>
      <c r="E66" s="1440"/>
      <c r="F66" s="1440"/>
      <c r="G66" s="1440"/>
      <c r="H66" s="1440"/>
      <c r="I66" s="1440"/>
      <c r="J66" s="1439">
        <v>17</v>
      </c>
      <c r="K66" s="1440"/>
      <c r="L66" s="1439">
        <v>26</v>
      </c>
      <c r="M66" s="1440"/>
      <c r="N66" s="1440"/>
      <c r="O66" s="1440"/>
      <c r="P66" s="1440"/>
      <c r="Q66" s="1440">
        <f t="shared" si="21"/>
        <v>6493</v>
      </c>
      <c r="R66" s="1440">
        <f>-'[22]Total_Scholarship Only_byLEA'!F75</f>
        <v>0</v>
      </c>
      <c r="S66" s="1443">
        <f t="shared" si="22"/>
        <v>6493</v>
      </c>
      <c r="T66" s="1295"/>
      <c r="U66" s="1295"/>
      <c r="V66" s="1451"/>
      <c r="W66" s="1451"/>
      <c r="X66" s="1451"/>
      <c r="Y66" s="1451"/>
      <c r="Z66" s="1451"/>
      <c r="AA66" s="1451"/>
      <c r="AB66" s="1451"/>
      <c r="AC66" s="1451"/>
      <c r="AD66" s="1452">
        <v>4</v>
      </c>
      <c r="AE66" s="1451"/>
      <c r="AF66" s="1447">
        <f t="shared" si="20"/>
        <v>6497</v>
      </c>
      <c r="AG66" s="1465"/>
      <c r="AH66" s="1466"/>
      <c r="AI66" s="1466"/>
      <c r="AJ66" s="1468"/>
      <c r="AK66" s="1467"/>
    </row>
    <row r="67" spans="1:37" ht="12.75" customHeight="1">
      <c r="A67" s="1294" t="s">
        <v>330</v>
      </c>
      <c r="B67" s="1294" t="s">
        <v>860</v>
      </c>
      <c r="C67" s="1439">
        <v>3616</v>
      </c>
      <c r="D67" s="1440"/>
      <c r="E67" s="1440"/>
      <c r="F67" s="1440"/>
      <c r="G67" s="1440"/>
      <c r="H67" s="1440"/>
      <c r="I67" s="1439">
        <v>1</v>
      </c>
      <c r="J67" s="1439">
        <v>6</v>
      </c>
      <c r="K67" s="1440"/>
      <c r="L67" s="1439">
        <v>9</v>
      </c>
      <c r="M67" s="1440"/>
      <c r="N67" s="1440"/>
      <c r="O67" s="1440"/>
      <c r="P67" s="1440"/>
      <c r="Q67" s="1440">
        <f t="shared" si="21"/>
        <v>3632</v>
      </c>
      <c r="R67" s="1440">
        <f>-'[22]Total_Scholarship Only_byLEA'!F76</f>
        <v>-12</v>
      </c>
      <c r="S67" s="1443">
        <f t="shared" si="22"/>
        <v>3620</v>
      </c>
      <c r="T67" s="1295"/>
      <c r="U67" s="1295"/>
      <c r="V67" s="1451"/>
      <c r="W67" s="1451"/>
      <c r="X67" s="1451"/>
      <c r="Y67" s="1451"/>
      <c r="Z67" s="1451"/>
      <c r="AA67" s="1451"/>
      <c r="AB67" s="1451"/>
      <c r="AC67" s="1451"/>
      <c r="AD67" s="1451"/>
      <c r="AE67" s="1451"/>
      <c r="AF67" s="1447">
        <f t="shared" si="20"/>
        <v>3620</v>
      </c>
      <c r="AG67" s="1465"/>
      <c r="AH67" s="1468"/>
      <c r="AI67" s="1466"/>
      <c r="AJ67" s="1466"/>
      <c r="AK67" s="1467"/>
    </row>
    <row r="68" spans="1:37" ht="12.75" customHeight="1">
      <c r="A68" s="1294" t="s">
        <v>861</v>
      </c>
      <c r="B68" s="1294" t="s">
        <v>862</v>
      </c>
      <c r="C68" s="1439">
        <v>2103</v>
      </c>
      <c r="D68" s="1440"/>
      <c r="E68" s="1440"/>
      <c r="F68" s="1440"/>
      <c r="G68" s="1440"/>
      <c r="H68" s="1440"/>
      <c r="I68" s="1440"/>
      <c r="J68" s="1439">
        <v>1</v>
      </c>
      <c r="K68" s="1440"/>
      <c r="L68" s="1439">
        <v>1</v>
      </c>
      <c r="M68" s="1440"/>
      <c r="N68" s="1440"/>
      <c r="O68" s="1440"/>
      <c r="P68" s="1440"/>
      <c r="Q68" s="1440">
        <f t="shared" si="21"/>
        <v>2105</v>
      </c>
      <c r="R68" s="1440">
        <f>-'[22]Total_Scholarship Only_byLEA'!F77</f>
        <v>0</v>
      </c>
      <c r="S68" s="1443">
        <f t="shared" si="22"/>
        <v>2105</v>
      </c>
      <c r="T68" s="1295"/>
      <c r="U68" s="1295"/>
      <c r="V68" s="1451"/>
      <c r="W68" s="1451"/>
      <c r="X68" s="1451"/>
      <c r="Y68" s="1451"/>
      <c r="Z68" s="1452">
        <v>36</v>
      </c>
      <c r="AA68" s="1451"/>
      <c r="AB68" s="1451"/>
      <c r="AC68" s="1451"/>
      <c r="AD68" s="1451"/>
      <c r="AE68" s="1451"/>
      <c r="AF68" s="1447">
        <f t="shared" si="20"/>
        <v>2141</v>
      </c>
      <c r="AG68" s="1465"/>
      <c r="AH68" s="1466"/>
      <c r="AI68" s="1466"/>
      <c r="AJ68" s="1466"/>
      <c r="AK68" s="1467"/>
    </row>
    <row r="69" spans="1:37" ht="12.75" customHeight="1">
      <c r="A69" s="1294" t="s">
        <v>863</v>
      </c>
      <c r="B69" s="1294" t="s">
        <v>864</v>
      </c>
      <c r="C69" s="1439">
        <v>2037</v>
      </c>
      <c r="D69" s="1440"/>
      <c r="E69" s="1440"/>
      <c r="F69" s="1440"/>
      <c r="G69" s="1440"/>
      <c r="H69" s="1440"/>
      <c r="I69" s="1440"/>
      <c r="J69" s="1440"/>
      <c r="K69" s="1440"/>
      <c r="L69" s="1439">
        <v>1</v>
      </c>
      <c r="M69" s="1440"/>
      <c r="N69" s="1440"/>
      <c r="O69" s="1440"/>
      <c r="P69" s="1440"/>
      <c r="Q69" s="1440">
        <f t="shared" si="21"/>
        <v>2038</v>
      </c>
      <c r="R69" s="1440">
        <f>-'[22]Total_Scholarship Only_byLEA'!F78</f>
        <v>0</v>
      </c>
      <c r="S69" s="1443">
        <f t="shared" si="22"/>
        <v>2038</v>
      </c>
      <c r="T69" s="1295"/>
      <c r="U69" s="1295"/>
      <c r="V69" s="1451"/>
      <c r="W69" s="1451"/>
      <c r="X69" s="1451"/>
      <c r="Y69" s="1451"/>
      <c r="Z69" s="1451"/>
      <c r="AA69" s="1451"/>
      <c r="AB69" s="1451"/>
      <c r="AC69" s="1451"/>
      <c r="AD69" s="1452">
        <v>3</v>
      </c>
      <c r="AE69" s="1451"/>
      <c r="AF69" s="1447">
        <f t="shared" si="20"/>
        <v>2041</v>
      </c>
      <c r="AG69" s="1465"/>
      <c r="AH69" s="1466"/>
      <c r="AI69" s="1466"/>
      <c r="AJ69" s="1466"/>
      <c r="AK69" s="1467"/>
    </row>
    <row r="70" spans="1:37" ht="12.75" customHeight="1">
      <c r="A70" s="1294" t="s">
        <v>865</v>
      </c>
      <c r="B70" s="1294" t="s">
        <v>866</v>
      </c>
      <c r="C70" s="1439">
        <v>2391</v>
      </c>
      <c r="D70" s="1440"/>
      <c r="E70" s="1440"/>
      <c r="F70" s="1440"/>
      <c r="G70" s="1440"/>
      <c r="H70" s="1440"/>
      <c r="I70" s="1440"/>
      <c r="J70" s="1439">
        <v>1</v>
      </c>
      <c r="K70" s="1440"/>
      <c r="L70" s="1439">
        <v>4</v>
      </c>
      <c r="M70" s="1440"/>
      <c r="N70" s="1440"/>
      <c r="O70" s="1440"/>
      <c r="P70" s="1440"/>
      <c r="Q70" s="1440">
        <f t="shared" si="21"/>
        <v>2396</v>
      </c>
      <c r="R70" s="1440">
        <f>-'[22]Total_Scholarship Only_byLEA'!F79</f>
        <v>0</v>
      </c>
      <c r="S70" s="1443">
        <f t="shared" si="22"/>
        <v>2396</v>
      </c>
      <c r="T70" s="1295"/>
      <c r="U70" s="1295"/>
      <c r="V70" s="1451"/>
      <c r="W70" s="1451"/>
      <c r="X70" s="1451"/>
      <c r="Y70" s="1451"/>
      <c r="Z70" s="1451"/>
      <c r="AA70" s="1451"/>
      <c r="AB70" s="1451"/>
      <c r="AC70" s="1451"/>
      <c r="AD70" s="1452">
        <v>1</v>
      </c>
      <c r="AE70" s="1451"/>
      <c r="AF70" s="1447">
        <f t="shared" si="20"/>
        <v>2397</v>
      </c>
      <c r="AG70" s="1465"/>
      <c r="AH70" s="1466"/>
      <c r="AI70" s="1466"/>
      <c r="AJ70" s="1466"/>
      <c r="AK70" s="1467"/>
    </row>
    <row r="71" spans="1:37" ht="12.75" customHeight="1">
      <c r="A71" s="1294" t="s">
        <v>331</v>
      </c>
      <c r="B71" s="1294" t="s">
        <v>867</v>
      </c>
      <c r="C71" s="1439">
        <v>8276</v>
      </c>
      <c r="D71" s="1440"/>
      <c r="E71" s="1440"/>
      <c r="F71" s="1440"/>
      <c r="G71" s="1440"/>
      <c r="H71" s="1439">
        <v>3</v>
      </c>
      <c r="I71" s="1440"/>
      <c r="J71" s="1440"/>
      <c r="K71" s="1440"/>
      <c r="L71" s="1439">
        <v>4</v>
      </c>
      <c r="M71" s="1440"/>
      <c r="N71" s="1440"/>
      <c r="O71" s="1440"/>
      <c r="P71" s="1440"/>
      <c r="Q71" s="1440">
        <f t="shared" ref="Q71:Q76" si="23">SUM(C71:P71)</f>
        <v>8283</v>
      </c>
      <c r="R71" s="1440">
        <f>-'[22]Total_Scholarship Only_byLEA'!F80</f>
        <v>-37</v>
      </c>
      <c r="S71" s="1443">
        <f t="shared" ref="S71:S75" si="24">SUM(Q71:R71)</f>
        <v>8246</v>
      </c>
      <c r="T71" s="1295"/>
      <c r="U71" s="1295"/>
      <c r="V71" s="1452">
        <v>184</v>
      </c>
      <c r="W71" s="1451"/>
      <c r="X71" s="1451"/>
      <c r="Y71" s="1451"/>
      <c r="Z71" s="1451"/>
      <c r="AA71" s="1451"/>
      <c r="AB71" s="1451"/>
      <c r="AC71" s="1451"/>
      <c r="AD71" s="1451"/>
      <c r="AE71" s="1451"/>
      <c r="AF71" s="1447">
        <f t="shared" si="20"/>
        <v>8430</v>
      </c>
      <c r="AG71" s="1465"/>
      <c r="AH71" s="1466"/>
      <c r="AI71" s="1466"/>
      <c r="AJ71" s="1466"/>
      <c r="AK71" s="1467"/>
    </row>
    <row r="72" spans="1:37" ht="12.75" customHeight="1">
      <c r="A72" s="1294" t="s">
        <v>332</v>
      </c>
      <c r="B72" s="1294" t="s">
        <v>868</v>
      </c>
      <c r="C72" s="1439">
        <v>2029</v>
      </c>
      <c r="D72" s="1440"/>
      <c r="E72" s="1440"/>
      <c r="F72" s="1440"/>
      <c r="G72" s="1440"/>
      <c r="H72" s="1440"/>
      <c r="I72" s="1440"/>
      <c r="J72" s="1439">
        <v>3</v>
      </c>
      <c r="K72" s="1440"/>
      <c r="L72" s="1439">
        <v>2</v>
      </c>
      <c r="M72" s="1440"/>
      <c r="N72" s="1440"/>
      <c r="O72" s="1440"/>
      <c r="P72" s="1440"/>
      <c r="Q72" s="1440">
        <f t="shared" si="23"/>
        <v>2034</v>
      </c>
      <c r="R72" s="1440">
        <f>-'[22]Total_Scholarship Only_byLEA'!F81</f>
        <v>-9</v>
      </c>
      <c r="S72" s="1443">
        <f t="shared" si="24"/>
        <v>2025</v>
      </c>
      <c r="T72" s="1295"/>
      <c r="U72" s="1295"/>
      <c r="V72" s="1451"/>
      <c r="W72" s="1451"/>
      <c r="X72" s="1451"/>
      <c r="Y72" s="1451"/>
      <c r="Z72" s="1451"/>
      <c r="AA72" s="1451"/>
      <c r="AB72" s="1451"/>
      <c r="AC72" s="1451"/>
      <c r="AD72" s="1451"/>
      <c r="AE72" s="1451"/>
      <c r="AF72" s="1447">
        <f t="shared" ref="AF72:AF76" si="25">SUM(S72:AE72)</f>
        <v>2025</v>
      </c>
      <c r="AG72" s="1465"/>
      <c r="AH72" s="1466"/>
      <c r="AI72" s="1466"/>
      <c r="AJ72" s="1466"/>
      <c r="AK72" s="1467"/>
    </row>
    <row r="73" spans="1:37" ht="12.75" customHeight="1">
      <c r="A73" s="1294" t="s">
        <v>869</v>
      </c>
      <c r="B73" s="1294" t="s">
        <v>870</v>
      </c>
      <c r="C73" s="1439">
        <v>5092</v>
      </c>
      <c r="D73" s="1440"/>
      <c r="E73" s="1440"/>
      <c r="F73" s="1440"/>
      <c r="G73" s="1440"/>
      <c r="H73" s="1440"/>
      <c r="I73" s="1439">
        <v>2</v>
      </c>
      <c r="J73" s="1439">
        <v>1</v>
      </c>
      <c r="K73" s="1440"/>
      <c r="L73" s="1439">
        <v>3</v>
      </c>
      <c r="M73" s="1440"/>
      <c r="N73" s="1440"/>
      <c r="O73" s="1440"/>
      <c r="P73" s="1440"/>
      <c r="Q73" s="1440">
        <f t="shared" si="23"/>
        <v>5098</v>
      </c>
      <c r="R73" s="1440">
        <f>-'[22]Total_Scholarship Only_byLEA'!F82</f>
        <v>0</v>
      </c>
      <c r="S73" s="1443">
        <f t="shared" si="24"/>
        <v>5098</v>
      </c>
      <c r="T73" s="1295"/>
      <c r="U73" s="1295"/>
      <c r="V73" s="1451"/>
      <c r="W73" s="1451"/>
      <c r="X73" s="1451"/>
      <c r="Y73" s="1451"/>
      <c r="Z73" s="1451"/>
      <c r="AA73" s="1451"/>
      <c r="AB73" s="1451"/>
      <c r="AC73" s="1451"/>
      <c r="AD73" s="1451"/>
      <c r="AE73" s="1451"/>
      <c r="AF73" s="1447">
        <f t="shared" si="25"/>
        <v>5098</v>
      </c>
      <c r="AG73" s="1465"/>
      <c r="AH73" s="1466"/>
      <c r="AI73" s="1466"/>
      <c r="AJ73" s="1466"/>
      <c r="AK73" s="1467"/>
    </row>
    <row r="74" spans="1:37" ht="12.75" customHeight="1">
      <c r="A74" s="1294" t="s">
        <v>333</v>
      </c>
      <c r="B74" s="1294" t="s">
        <v>871</v>
      </c>
      <c r="C74" s="1439">
        <v>1731</v>
      </c>
      <c r="D74" s="1440"/>
      <c r="E74" s="1440"/>
      <c r="F74" s="1440"/>
      <c r="G74" s="1440"/>
      <c r="H74" s="1440"/>
      <c r="I74" s="1439">
        <v>4</v>
      </c>
      <c r="J74" s="1439">
        <v>3</v>
      </c>
      <c r="K74" s="1440"/>
      <c r="L74" s="1439">
        <v>11</v>
      </c>
      <c r="M74" s="1440"/>
      <c r="N74" s="1440"/>
      <c r="O74" s="1440"/>
      <c r="P74" s="1440"/>
      <c r="Q74" s="1440">
        <f t="shared" si="23"/>
        <v>1749</v>
      </c>
      <c r="R74" s="1440">
        <f>-'[22]Total_Scholarship Only_byLEA'!F83</f>
        <v>-35</v>
      </c>
      <c r="S74" s="1443">
        <f t="shared" si="24"/>
        <v>1714</v>
      </c>
      <c r="T74" s="1295"/>
      <c r="U74" s="1295"/>
      <c r="V74" s="1451"/>
      <c r="W74" s="1451"/>
      <c r="X74" s="1451"/>
      <c r="Y74" s="1451"/>
      <c r="Z74" s="1451"/>
      <c r="AA74" s="1451"/>
      <c r="AB74" s="1451"/>
      <c r="AC74" s="1451"/>
      <c r="AD74" s="1451"/>
      <c r="AE74" s="1451"/>
      <c r="AF74" s="1447">
        <f t="shared" si="25"/>
        <v>1714</v>
      </c>
      <c r="AG74" s="1465"/>
      <c r="AH74" s="1466"/>
      <c r="AI74" s="1466"/>
      <c r="AJ74" s="1466"/>
      <c r="AK74" s="1467"/>
    </row>
    <row r="75" spans="1:37" ht="12.75" customHeight="1">
      <c r="A75" s="1294" t="s">
        <v>872</v>
      </c>
      <c r="B75" s="1294" t="s">
        <v>873</v>
      </c>
      <c r="C75" s="1439">
        <v>4184</v>
      </c>
      <c r="D75" s="1440"/>
      <c r="E75" s="1440"/>
      <c r="F75" s="1440"/>
      <c r="G75" s="1440"/>
      <c r="H75" s="1440"/>
      <c r="I75" s="1440"/>
      <c r="J75" s="1439">
        <v>7</v>
      </c>
      <c r="K75" s="1440"/>
      <c r="L75" s="1439">
        <v>2</v>
      </c>
      <c r="M75" s="1440"/>
      <c r="N75" s="1440"/>
      <c r="O75" s="1440"/>
      <c r="P75" s="1440"/>
      <c r="Q75" s="1440">
        <f t="shared" si="23"/>
        <v>4193</v>
      </c>
      <c r="R75" s="1440">
        <f>-'[22]Total_Scholarship Only_byLEA'!F84</f>
        <v>0</v>
      </c>
      <c r="S75" s="1443">
        <f t="shared" si="24"/>
        <v>4193</v>
      </c>
      <c r="T75" s="1295"/>
      <c r="U75" s="1295"/>
      <c r="V75" s="1451"/>
      <c r="W75" s="1451"/>
      <c r="X75" s="1451"/>
      <c r="Y75" s="1451"/>
      <c r="Z75" s="1451"/>
      <c r="AA75" s="1451"/>
      <c r="AB75" s="1451"/>
      <c r="AC75" s="1451"/>
      <c r="AD75" s="1451"/>
      <c r="AE75" s="1451"/>
      <c r="AF75" s="1447">
        <f t="shared" si="25"/>
        <v>4193</v>
      </c>
      <c r="AG75" s="1465"/>
      <c r="AH75" s="1466"/>
      <c r="AI75" s="1466"/>
      <c r="AJ75" s="1466"/>
      <c r="AK75" s="1467"/>
    </row>
    <row r="76" spans="1:37" ht="30" customHeight="1">
      <c r="A76" s="1294" t="s">
        <v>874</v>
      </c>
      <c r="B76" s="1294" t="s">
        <v>875</v>
      </c>
      <c r="C76" s="1440"/>
      <c r="D76" s="1440"/>
      <c r="E76" s="1440"/>
      <c r="F76" s="1440"/>
      <c r="G76" s="1440"/>
      <c r="H76" s="1439">
        <v>1</v>
      </c>
      <c r="I76" s="1440"/>
      <c r="J76" s="1440"/>
      <c r="K76" s="1440"/>
      <c r="L76" s="1440"/>
      <c r="M76" s="1440"/>
      <c r="N76" s="1440"/>
      <c r="O76" s="1440"/>
      <c r="P76" s="1440"/>
      <c r="Q76" s="1440">
        <f t="shared" si="23"/>
        <v>1</v>
      </c>
      <c r="R76" s="1440"/>
      <c r="S76" s="1443">
        <f>Q76-R76</f>
        <v>1</v>
      </c>
      <c r="T76" s="1295"/>
      <c r="U76" s="1295"/>
      <c r="V76" s="1451"/>
      <c r="W76" s="1451"/>
      <c r="X76" s="1451"/>
      <c r="Y76" s="1451"/>
      <c r="Z76" s="1451"/>
      <c r="AA76" s="1451"/>
      <c r="AB76" s="1451"/>
      <c r="AC76" s="1451"/>
      <c r="AD76" s="1451"/>
      <c r="AE76" s="1451"/>
      <c r="AF76" s="1447">
        <f t="shared" si="25"/>
        <v>1</v>
      </c>
      <c r="AG76" s="1465"/>
      <c r="AH76" s="1466"/>
      <c r="AI76" s="1466"/>
      <c r="AJ76" s="1468"/>
      <c r="AK76" s="1467"/>
    </row>
    <row r="77" spans="1:37">
      <c r="C77" s="1297"/>
      <c r="D77" s="1297"/>
      <c r="E77" s="1297"/>
      <c r="F77" s="1297"/>
      <c r="S77" s="1445"/>
    </row>
    <row r="78" spans="1:37">
      <c r="B78" s="1298" t="s">
        <v>876</v>
      </c>
      <c r="C78" s="1299">
        <f>SUM(C7:C77)</f>
        <v>640747</v>
      </c>
      <c r="D78" s="1299">
        <f t="shared" ref="D78:AF78" si="26">SUM(D7:D77)</f>
        <v>1005</v>
      </c>
      <c r="E78" s="1299">
        <f t="shared" si="26"/>
        <v>25217</v>
      </c>
      <c r="F78" s="1299">
        <f t="shared" si="26"/>
        <v>6204</v>
      </c>
      <c r="G78" s="1300">
        <f t="shared" si="26"/>
        <v>531</v>
      </c>
      <c r="H78" s="1300">
        <f t="shared" si="26"/>
        <v>548</v>
      </c>
      <c r="I78" s="1300">
        <f t="shared" si="26"/>
        <v>213</v>
      </c>
      <c r="J78" s="1300">
        <f t="shared" si="26"/>
        <v>1130</v>
      </c>
      <c r="K78" s="1300">
        <f t="shared" si="26"/>
        <v>443</v>
      </c>
      <c r="L78" s="1300">
        <f t="shared" si="26"/>
        <v>1200</v>
      </c>
      <c r="M78" s="1300">
        <f t="shared" si="26"/>
        <v>755</v>
      </c>
      <c r="N78" s="1300">
        <f t="shared" si="26"/>
        <v>202</v>
      </c>
      <c r="O78" s="1300">
        <f t="shared" si="26"/>
        <v>224</v>
      </c>
      <c r="P78" s="1300">
        <f t="shared" si="26"/>
        <v>168</v>
      </c>
      <c r="Q78" s="1300">
        <f t="shared" si="26"/>
        <v>678587</v>
      </c>
      <c r="R78" s="1300">
        <f t="shared" si="26"/>
        <v>-4679</v>
      </c>
      <c r="S78" s="1446">
        <f t="shared" si="26"/>
        <v>673908</v>
      </c>
      <c r="T78" s="1300">
        <f t="shared" si="26"/>
        <v>1376</v>
      </c>
      <c r="U78" s="1300">
        <f t="shared" si="26"/>
        <v>391</v>
      </c>
      <c r="V78" s="1300">
        <f t="shared" si="26"/>
        <v>319</v>
      </c>
      <c r="W78" s="1300">
        <f t="shared" si="26"/>
        <v>361</v>
      </c>
      <c r="X78" s="1300">
        <f t="shared" si="26"/>
        <v>735</v>
      </c>
      <c r="Y78" s="1300">
        <f t="shared" si="26"/>
        <v>694</v>
      </c>
      <c r="Z78" s="1300">
        <f t="shared" si="26"/>
        <v>675</v>
      </c>
      <c r="AA78" s="1300">
        <f t="shared" si="26"/>
        <v>951</v>
      </c>
      <c r="AB78" s="1300">
        <f t="shared" si="26"/>
        <v>458</v>
      </c>
      <c r="AC78" s="1300">
        <f t="shared" si="26"/>
        <v>113</v>
      </c>
      <c r="AD78" s="1300">
        <f t="shared" si="26"/>
        <v>275</v>
      </c>
      <c r="AE78" s="1300">
        <f t="shared" si="26"/>
        <v>114</v>
      </c>
      <c r="AF78" s="1448">
        <f t="shared" si="26"/>
        <v>680370</v>
      </c>
      <c r="AG78" s="1470"/>
      <c r="AH78" s="1470"/>
      <c r="AI78" s="1470"/>
      <c r="AJ78" s="1470"/>
      <c r="AK78" s="1470"/>
    </row>
    <row r="79" spans="1:37">
      <c r="C79" s="1301"/>
      <c r="D79" s="1301"/>
      <c r="E79" s="1301"/>
      <c r="F79" s="1301"/>
      <c r="G79" s="1301"/>
      <c r="H79" s="1301"/>
      <c r="I79" s="1301"/>
      <c r="J79" s="1301"/>
      <c r="K79" s="1301"/>
      <c r="L79" s="1301"/>
      <c r="M79" s="1301"/>
      <c r="N79" s="1301"/>
      <c r="O79" s="1301"/>
      <c r="P79" s="1301"/>
      <c r="Q79" s="1301">
        <f>SUM(C78:P78)</f>
        <v>678587</v>
      </c>
      <c r="R79" s="1301"/>
      <c r="S79" s="1301">
        <f>SUM(Q78:R78)</f>
        <v>673908</v>
      </c>
      <c r="T79" s="1301"/>
      <c r="U79" s="1301"/>
      <c r="V79" s="1301"/>
      <c r="W79" s="1301"/>
      <c r="X79" s="1301"/>
      <c r="Y79" s="1301"/>
      <c r="Z79" s="1301"/>
      <c r="AA79" s="1301"/>
      <c r="AB79" s="1301"/>
      <c r="AC79" s="1301"/>
      <c r="AD79" s="1301"/>
      <c r="AE79" s="1301"/>
      <c r="AF79" s="1447">
        <f>SUM(S78:AE78)</f>
        <v>680370</v>
      </c>
      <c r="AG79" s="1471"/>
      <c r="AH79" s="1471"/>
      <c r="AI79" s="1471"/>
      <c r="AJ79" s="1471"/>
      <c r="AK79" s="1471"/>
    </row>
    <row r="80" spans="1:37">
      <c r="B80" s="1302"/>
      <c r="C80" s="1300"/>
      <c r="D80" s="1301"/>
      <c r="E80" s="1301"/>
      <c r="F80" s="1301"/>
      <c r="G80" s="1301"/>
      <c r="H80" s="1301"/>
      <c r="I80" s="1301"/>
      <c r="J80" s="1301"/>
      <c r="K80" s="1301"/>
      <c r="L80" s="1301"/>
      <c r="M80" s="1301"/>
      <c r="N80" s="1301"/>
      <c r="O80" s="1301"/>
      <c r="P80" s="1301"/>
      <c r="Q80" s="1301"/>
      <c r="R80" s="1301"/>
      <c r="S80" s="1301"/>
      <c r="T80" s="1301"/>
      <c r="U80" s="1301"/>
      <c r="V80" s="1301"/>
      <c r="W80" s="1301"/>
      <c r="X80" s="1301"/>
      <c r="Y80" s="1301"/>
      <c r="Z80" s="1301"/>
      <c r="AA80" s="1301"/>
      <c r="AB80" s="1301"/>
      <c r="AC80" s="1301"/>
      <c r="AD80" s="1301"/>
      <c r="AE80" s="1301"/>
      <c r="AF80" s="1447">
        <f>AF78-AF79</f>
        <v>0</v>
      </c>
      <c r="AG80" s="1471"/>
      <c r="AH80" s="1471"/>
      <c r="AI80" s="1471"/>
      <c r="AJ80" s="1471"/>
    </row>
    <row r="81" spans="2:2">
      <c r="B81" s="1303"/>
    </row>
  </sheetData>
  <mergeCells count="6">
    <mergeCell ref="AF4:AF5"/>
    <mergeCell ref="AH4:AJ4"/>
    <mergeCell ref="A4:B4"/>
    <mergeCell ref="D4:F4"/>
    <mergeCell ref="G4:P4"/>
    <mergeCell ref="T4:U4"/>
  </mergeCells>
  <pageMargins left="0.28999999999999998" right="0.25" top="0.27" bottom="0.41" header="0.3" footer="0.3"/>
  <pageSetup paperSize="5" scale="80" orientation="portrait" r:id="rId1"/>
  <colBreaks count="1" manualBreakCount="1">
    <brk id="3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8"/>
  <sheetViews>
    <sheetView view="pageBreakPreview" zoomScale="90" zoomScaleNormal="70" zoomScaleSheetLayoutView="90" workbookViewId="0">
      <pane xSplit="2" ySplit="4" topLeftCell="AM5" activePane="bottomRight" state="frozen"/>
      <selection activeCell="X8" sqref="X8:X75"/>
      <selection pane="topRight" activeCell="X8" sqref="X8:X75"/>
      <selection pane="bottomLeft" activeCell="X8" sqref="X8:X75"/>
      <selection pane="bottomRight" activeCell="D78" sqref="D78:K78"/>
    </sheetView>
  </sheetViews>
  <sheetFormatPr defaultRowHeight="12.75"/>
  <cols>
    <col min="1" max="1" width="3.42578125" bestFit="1" customWidth="1"/>
    <col min="2" max="2" width="18.7109375" bestFit="1" customWidth="1"/>
    <col min="3" max="3" width="15.42578125" customWidth="1"/>
    <col min="4" max="4" width="12.140625" bestFit="1" customWidth="1"/>
    <col min="5" max="5" width="12.42578125" bestFit="1" customWidth="1"/>
    <col min="6" max="6" width="11.5703125" bestFit="1" customWidth="1"/>
    <col min="7" max="7" width="11" bestFit="1" customWidth="1"/>
    <col min="8" max="8" width="11.5703125" bestFit="1" customWidth="1"/>
    <col min="9" max="9" width="11.140625" customWidth="1"/>
    <col min="10" max="10" width="11.7109375" hidden="1" customWidth="1"/>
    <col min="11" max="11" width="11.7109375" customWidth="1"/>
    <col min="12" max="14" width="12.140625" customWidth="1"/>
    <col min="15" max="20" width="13.140625" customWidth="1"/>
    <col min="21" max="21" width="12.85546875" bestFit="1" customWidth="1"/>
    <col min="22" max="22" width="13.140625" customWidth="1"/>
    <col min="23" max="23" width="12" customWidth="1"/>
    <col min="24" max="24" width="13.85546875" customWidth="1"/>
    <col min="25" max="25" width="16" bestFit="1" customWidth="1"/>
    <col min="26" max="26" width="13" customWidth="1"/>
    <col min="27" max="28" width="14.140625" customWidth="1"/>
    <col min="29" max="29" width="12" bestFit="1" customWidth="1"/>
    <col min="30" max="33" width="12.85546875" customWidth="1"/>
    <col min="34" max="34" width="14.140625" customWidth="1"/>
    <col min="35" max="35" width="13.85546875" customWidth="1"/>
    <col min="36" max="36" width="12.5703125" customWidth="1"/>
    <col min="37" max="44" width="12.85546875" customWidth="1"/>
    <col min="45" max="45" width="13.85546875" bestFit="1" customWidth="1"/>
    <col min="46" max="46" width="1.140625" customWidth="1"/>
    <col min="52" max="52" width="9.140625" style="49"/>
    <col min="61" max="61" width="9.140625" style="47"/>
  </cols>
  <sheetData>
    <row r="1" spans="1:61" ht="12.75" customHeight="1">
      <c r="A1" s="1586" t="s">
        <v>395</v>
      </c>
      <c r="B1" s="1586" t="s">
        <v>246</v>
      </c>
      <c r="C1" s="1558" t="s">
        <v>938</v>
      </c>
      <c r="D1" s="1590" t="s">
        <v>633</v>
      </c>
      <c r="E1" s="1590" t="s">
        <v>712</v>
      </c>
      <c r="F1" s="1590" t="s">
        <v>713</v>
      </c>
      <c r="G1" s="1590" t="s">
        <v>634</v>
      </c>
      <c r="H1" s="1590" t="s">
        <v>635</v>
      </c>
      <c r="I1" s="1590" t="s">
        <v>636</v>
      </c>
      <c r="J1" s="1590" t="s">
        <v>637</v>
      </c>
      <c r="K1" s="1590" t="s">
        <v>714</v>
      </c>
      <c r="L1" s="1590" t="s">
        <v>638</v>
      </c>
      <c r="M1" s="1590" t="s">
        <v>639</v>
      </c>
      <c r="N1" s="1590" t="s">
        <v>640</v>
      </c>
      <c r="O1" s="1590" t="s">
        <v>945</v>
      </c>
      <c r="P1" s="1590" t="s">
        <v>946</v>
      </c>
      <c r="Q1" s="1590" t="s">
        <v>947</v>
      </c>
      <c r="R1" s="1590" t="s">
        <v>948</v>
      </c>
      <c r="S1" s="1590" t="s">
        <v>949</v>
      </c>
      <c r="T1" s="1590" t="s">
        <v>950</v>
      </c>
      <c r="U1" s="1590" t="s">
        <v>715</v>
      </c>
      <c r="V1" s="1590" t="s">
        <v>716</v>
      </c>
      <c r="W1" s="1592" t="s">
        <v>641</v>
      </c>
      <c r="X1" s="1590" t="s">
        <v>982</v>
      </c>
      <c r="Y1" s="1587" t="s">
        <v>642</v>
      </c>
      <c r="Z1" s="1590" t="s">
        <v>439</v>
      </c>
      <c r="AA1" s="1590" t="s">
        <v>438</v>
      </c>
      <c r="AB1" s="1590" t="s">
        <v>717</v>
      </c>
      <c r="AC1" s="1590" t="s">
        <v>718</v>
      </c>
      <c r="AD1" s="1590" t="s">
        <v>542</v>
      </c>
      <c r="AE1" s="1590" t="s">
        <v>719</v>
      </c>
      <c r="AF1" s="1590" t="s">
        <v>720</v>
      </c>
      <c r="AG1" s="1590" t="s">
        <v>721</v>
      </c>
      <c r="AH1" s="1590" t="s">
        <v>722</v>
      </c>
      <c r="AI1" s="1590" t="s">
        <v>723</v>
      </c>
      <c r="AJ1" s="1590" t="s">
        <v>724</v>
      </c>
      <c r="AK1" s="1590" t="s">
        <v>558</v>
      </c>
      <c r="AL1" s="1590" t="s">
        <v>559</v>
      </c>
      <c r="AM1" s="1590" t="s">
        <v>560</v>
      </c>
      <c r="AN1" s="1590" t="s">
        <v>561</v>
      </c>
      <c r="AO1" s="1590" t="s">
        <v>562</v>
      </c>
      <c r="AP1" s="1590" t="s">
        <v>563</v>
      </c>
      <c r="AQ1" s="1590" t="s">
        <v>725</v>
      </c>
      <c r="AR1" s="1590" t="s">
        <v>726</v>
      </c>
      <c r="AS1" s="1587" t="s">
        <v>564</v>
      </c>
      <c r="AT1" s="47"/>
      <c r="AZ1"/>
      <c r="BI1"/>
    </row>
    <row r="2" spans="1:61">
      <c r="A2" s="1577"/>
      <c r="B2" s="1577"/>
      <c r="C2" s="1558"/>
      <c r="D2" s="1591"/>
      <c r="E2" s="1591"/>
      <c r="F2" s="1591"/>
      <c r="G2" s="1591"/>
      <c r="H2" s="1591"/>
      <c r="I2" s="1591"/>
      <c r="J2" s="1591"/>
      <c r="K2" s="1591"/>
      <c r="L2" s="1591"/>
      <c r="M2" s="1591"/>
      <c r="N2" s="1591"/>
      <c r="O2" s="1591"/>
      <c r="P2" s="1591"/>
      <c r="Q2" s="1591"/>
      <c r="R2" s="1591"/>
      <c r="S2" s="1591"/>
      <c r="T2" s="1591"/>
      <c r="U2" s="1591"/>
      <c r="V2" s="1591"/>
      <c r="W2" s="1593"/>
      <c r="X2" s="1591"/>
      <c r="Y2" s="1588"/>
      <c r="Z2" s="1591"/>
      <c r="AA2" s="1591"/>
      <c r="AB2" s="1591"/>
      <c r="AC2" s="1591"/>
      <c r="AD2" s="1591"/>
      <c r="AE2" s="1591"/>
      <c r="AF2" s="1591"/>
      <c r="AG2" s="1591"/>
      <c r="AH2" s="1591"/>
      <c r="AI2" s="1591"/>
      <c r="AJ2" s="1591"/>
      <c r="AK2" s="1591"/>
      <c r="AL2" s="1591"/>
      <c r="AM2" s="1591"/>
      <c r="AN2" s="1591"/>
      <c r="AO2" s="1591"/>
      <c r="AP2" s="1591"/>
      <c r="AQ2" s="1591"/>
      <c r="AR2" s="1591"/>
      <c r="AS2" s="1588"/>
      <c r="AT2" s="47"/>
      <c r="AZ2"/>
      <c r="BI2"/>
    </row>
    <row r="3" spans="1:61" ht="24" customHeight="1">
      <c r="A3" s="1577"/>
      <c r="B3" s="1577"/>
      <c r="C3" s="1558"/>
      <c r="D3" s="1591"/>
      <c r="E3" s="1591"/>
      <c r="F3" s="1591"/>
      <c r="G3" s="1591"/>
      <c r="H3" s="1591"/>
      <c r="I3" s="1591"/>
      <c r="J3" s="1591"/>
      <c r="K3" s="1591"/>
      <c r="L3" s="1591"/>
      <c r="M3" s="1591"/>
      <c r="N3" s="1591"/>
      <c r="O3" s="1591"/>
      <c r="P3" s="1591"/>
      <c r="Q3" s="1591"/>
      <c r="R3" s="1591"/>
      <c r="S3" s="1591"/>
      <c r="T3" s="1591"/>
      <c r="U3" s="1591"/>
      <c r="V3" s="1591"/>
      <c r="W3" s="1593"/>
      <c r="X3" s="1591"/>
      <c r="Y3" s="1588"/>
      <c r="Z3" s="1591"/>
      <c r="AA3" s="1591"/>
      <c r="AB3" s="1591"/>
      <c r="AC3" s="1591"/>
      <c r="AD3" s="1591"/>
      <c r="AE3" s="1591"/>
      <c r="AF3" s="1591"/>
      <c r="AG3" s="1591"/>
      <c r="AH3" s="1591"/>
      <c r="AI3" s="1591"/>
      <c r="AJ3" s="1591"/>
      <c r="AK3" s="1591"/>
      <c r="AL3" s="1591"/>
      <c r="AM3" s="1591"/>
      <c r="AN3" s="1591"/>
      <c r="AO3" s="1591"/>
      <c r="AP3" s="1591"/>
      <c r="AQ3" s="1591"/>
      <c r="AR3" s="1591"/>
      <c r="AS3" s="1588"/>
      <c r="AT3" s="731"/>
      <c r="AZ3"/>
      <c r="BI3"/>
    </row>
    <row r="4" spans="1:61" ht="109.5" customHeight="1">
      <c r="A4" s="1578"/>
      <c r="B4" s="1578"/>
      <c r="C4" s="1558"/>
      <c r="D4" s="1582"/>
      <c r="E4" s="1582"/>
      <c r="F4" s="1582"/>
      <c r="G4" s="1582"/>
      <c r="H4" s="1582"/>
      <c r="I4" s="1582"/>
      <c r="J4" s="1582"/>
      <c r="K4" s="1582"/>
      <c r="L4" s="1582"/>
      <c r="M4" s="1582"/>
      <c r="N4" s="1582"/>
      <c r="O4" s="1582"/>
      <c r="P4" s="1582"/>
      <c r="Q4" s="1582"/>
      <c r="R4" s="1582"/>
      <c r="S4" s="1582"/>
      <c r="T4" s="1582"/>
      <c r="U4" s="1582"/>
      <c r="V4" s="1582"/>
      <c r="W4" s="1594"/>
      <c r="X4" s="1582"/>
      <c r="Y4" s="1589"/>
      <c r="Z4" s="1582"/>
      <c r="AA4" s="1582"/>
      <c r="AB4" s="1582"/>
      <c r="AC4" s="1582"/>
      <c r="AD4" s="1582"/>
      <c r="AE4" s="1582"/>
      <c r="AF4" s="1582"/>
      <c r="AG4" s="1582"/>
      <c r="AH4" s="1582"/>
      <c r="AI4" s="1582"/>
      <c r="AJ4" s="1582"/>
      <c r="AK4" s="1582"/>
      <c r="AL4" s="1582"/>
      <c r="AM4" s="1582"/>
      <c r="AN4" s="1582"/>
      <c r="AO4" s="1582"/>
      <c r="AP4" s="1582"/>
      <c r="AQ4" s="1582"/>
      <c r="AR4" s="1582"/>
      <c r="AS4" s="1589"/>
      <c r="AT4" s="731"/>
      <c r="AZ4"/>
      <c r="BI4"/>
    </row>
    <row r="5" spans="1:61" s="735" customFormat="1">
      <c r="A5" s="732"/>
      <c r="B5" s="733"/>
      <c r="C5" s="734">
        <v>1</v>
      </c>
      <c r="D5" s="734">
        <f t="shared" ref="D5:AT5" si="0">C5+1</f>
        <v>2</v>
      </c>
      <c r="E5" s="734">
        <f t="shared" si="0"/>
        <v>3</v>
      </c>
      <c r="F5" s="734">
        <f t="shared" si="0"/>
        <v>4</v>
      </c>
      <c r="G5" s="734">
        <f t="shared" si="0"/>
        <v>5</v>
      </c>
      <c r="H5" s="734">
        <f t="shared" si="0"/>
        <v>6</v>
      </c>
      <c r="I5" s="734">
        <f t="shared" ref="I5" si="1">H5+1</f>
        <v>7</v>
      </c>
      <c r="J5" s="734">
        <f t="shared" ref="J5" si="2">I5+1</f>
        <v>8</v>
      </c>
      <c r="K5" s="734">
        <f t="shared" ref="K5" si="3">J5+1</f>
        <v>9</v>
      </c>
      <c r="L5" s="734">
        <f t="shared" ref="L5" si="4">K5+1</f>
        <v>10</v>
      </c>
      <c r="M5" s="734">
        <f t="shared" ref="M5" si="5">L5+1</f>
        <v>11</v>
      </c>
      <c r="N5" s="734">
        <f t="shared" ref="N5" si="6">M5+1</f>
        <v>12</v>
      </c>
      <c r="O5" s="734">
        <f t="shared" ref="O5" si="7">N5+1</f>
        <v>13</v>
      </c>
      <c r="P5" s="734">
        <f t="shared" ref="P5" si="8">O5+1</f>
        <v>14</v>
      </c>
      <c r="Q5" s="734">
        <f t="shared" ref="Q5" si="9">P5+1</f>
        <v>15</v>
      </c>
      <c r="R5" s="734">
        <f t="shared" ref="R5" si="10">Q5+1</f>
        <v>16</v>
      </c>
      <c r="S5" s="734">
        <f t="shared" ref="S5" si="11">R5+1</f>
        <v>17</v>
      </c>
      <c r="T5" s="734">
        <f t="shared" ref="T5" si="12">S5+1</f>
        <v>18</v>
      </c>
      <c r="U5" s="734">
        <f t="shared" ref="U5" si="13">T5+1</f>
        <v>19</v>
      </c>
      <c r="V5" s="734">
        <f t="shared" ref="V5" si="14">U5+1</f>
        <v>20</v>
      </c>
      <c r="W5" s="734">
        <f t="shared" ref="W5" si="15">V5+1</f>
        <v>21</v>
      </c>
      <c r="X5" s="734">
        <f t="shared" ref="X5" si="16">W5+1</f>
        <v>22</v>
      </c>
      <c r="Y5" s="734">
        <f t="shared" ref="Y5" si="17">X5+1</f>
        <v>23</v>
      </c>
      <c r="Z5" s="734">
        <f t="shared" ref="Z5" si="18">Y5+1</f>
        <v>24</v>
      </c>
      <c r="AA5" s="734">
        <f t="shared" ref="AA5" si="19">Z5+1</f>
        <v>25</v>
      </c>
      <c r="AB5" s="734">
        <f t="shared" ref="AB5" si="20">AA5+1</f>
        <v>26</v>
      </c>
      <c r="AC5" s="734">
        <f t="shared" ref="AC5" si="21">AB5+1</f>
        <v>27</v>
      </c>
      <c r="AD5" s="734">
        <f t="shared" ref="AD5" si="22">AC5+1</f>
        <v>28</v>
      </c>
      <c r="AE5" s="734">
        <f t="shared" ref="AE5" si="23">AD5+1</f>
        <v>29</v>
      </c>
      <c r="AF5" s="734">
        <f t="shared" ref="AF5" si="24">AE5+1</f>
        <v>30</v>
      </c>
      <c r="AG5" s="734">
        <f t="shared" ref="AG5" si="25">AF5+1</f>
        <v>31</v>
      </c>
      <c r="AH5" s="734">
        <f t="shared" ref="AH5" si="26">AG5+1</f>
        <v>32</v>
      </c>
      <c r="AI5" s="734">
        <f t="shared" ref="AI5" si="27">AH5+1</f>
        <v>33</v>
      </c>
      <c r="AJ5" s="734">
        <f t="shared" ref="AJ5" si="28">AI5+1</f>
        <v>34</v>
      </c>
      <c r="AK5" s="734">
        <f t="shared" ref="AK5" si="29">AJ5+1</f>
        <v>35</v>
      </c>
      <c r="AL5" s="734">
        <f t="shared" ref="AL5" si="30">AK5+1</f>
        <v>36</v>
      </c>
      <c r="AM5" s="734">
        <f t="shared" ref="AM5" si="31">AL5+1</f>
        <v>37</v>
      </c>
      <c r="AN5" s="734">
        <f t="shared" ref="AN5" si="32">AM5+1</f>
        <v>38</v>
      </c>
      <c r="AO5" s="734">
        <f t="shared" ref="AO5" si="33">AN5+1</f>
        <v>39</v>
      </c>
      <c r="AP5" s="734">
        <f t="shared" ref="AP5" si="34">AO5+1</f>
        <v>40</v>
      </c>
      <c r="AQ5" s="734">
        <f t="shared" ref="AQ5" si="35">AP5+1</f>
        <v>41</v>
      </c>
      <c r="AR5" s="734">
        <f t="shared" ref="AR5" si="36">AQ5+1</f>
        <v>42</v>
      </c>
      <c r="AS5" s="734">
        <f t="shared" ref="AS5" si="37">AR5+1</f>
        <v>43</v>
      </c>
      <c r="AT5" s="734">
        <f t="shared" si="0"/>
        <v>44</v>
      </c>
    </row>
    <row r="6" spans="1:61">
      <c r="A6" s="99">
        <v>1</v>
      </c>
      <c r="B6" s="302" t="s">
        <v>93</v>
      </c>
      <c r="C6" s="311">
        <f>'Table 2_State Distrib and Adjs'!V7</f>
        <v>4279450</v>
      </c>
      <c r="D6" s="358"/>
      <c r="E6" s="358"/>
      <c r="F6" s="358">
        <f>-'Table 5C1A-Madison Prep'!T7</f>
        <v>0</v>
      </c>
      <c r="G6" s="358">
        <f>-'Table 5C1B-DArbonne'!T7</f>
        <v>0</v>
      </c>
      <c r="H6" s="358">
        <f>-'Table 5C1C-Intl_VIBE'!T7</f>
        <v>0</v>
      </c>
      <c r="I6" s="358">
        <f>-'Table 5C1D-NOMMA'!T7</f>
        <v>0</v>
      </c>
      <c r="J6" s="358"/>
      <c r="K6" s="358">
        <f>-'Table 5C1E-LFNO'!V7</f>
        <v>0</v>
      </c>
      <c r="L6" s="358">
        <f>-'Table 5C1F-Lake Charles Charter'!T7</f>
        <v>0</v>
      </c>
      <c r="M6" s="358">
        <f>-'Table 5C1G-JS Clark Academy'!T7</f>
        <v>0</v>
      </c>
      <c r="N6" s="358">
        <f>-'Table 5C1H-Southwest LA Charter'!T7</f>
        <v>0</v>
      </c>
      <c r="O6" s="358">
        <f>-'Table 5C1I-LA Key Academy'!T7</f>
        <v>0</v>
      </c>
      <c r="P6" s="358">
        <f>-'Table 5C1J-Jefferson Chamber'!T7</f>
        <v>0</v>
      </c>
      <c r="Q6" s="358">
        <f>-'Table 5C1K-Tallulah Charter'!T7</f>
        <v>0</v>
      </c>
      <c r="R6" s="358">
        <f>-'Table 5C1L-Northshore Charter'!T7</f>
        <v>0</v>
      </c>
      <c r="S6" s="358">
        <f>-'Table 5C1M-EBR Charter'!T7</f>
        <v>0</v>
      </c>
      <c r="T6" s="358">
        <f>-'Table 5C1N-Delta Charter'!T7</f>
        <v>0</v>
      </c>
      <c r="U6" s="358">
        <f>-'Table 5C2 - LA Virtual Admy'!U4</f>
        <v>-2119</v>
      </c>
      <c r="V6" s="358">
        <f>-'Table 5C3 - LA Connections EBR'!U4</f>
        <v>-2919</v>
      </c>
      <c r="W6" s="358">
        <f>-'Table 5E_OJJ'!S7</f>
        <v>-397</v>
      </c>
      <c r="X6" s="1524">
        <f>SUM(D6:W6)</f>
        <v>-5435</v>
      </c>
      <c r="Y6" s="736">
        <f>C6+X6</f>
        <v>4274015</v>
      </c>
      <c r="Z6" s="358"/>
      <c r="AA6" s="358"/>
      <c r="AB6" s="358"/>
      <c r="AC6" s="358">
        <f>'Table 5C1A-Madison Prep'!P7</f>
        <v>0</v>
      </c>
      <c r="AD6" s="358">
        <f>'Table 5C1B-DArbonne'!P7</f>
        <v>0</v>
      </c>
      <c r="AE6" s="358">
        <f>'Table 5C1C-Intl_VIBE'!P7</f>
        <v>0</v>
      </c>
      <c r="AF6" s="358">
        <f>'Table 5C1D-NOMMA'!P7</f>
        <v>0</v>
      </c>
      <c r="AG6" s="358">
        <f>'Table 5C1E-LFNO'!R7</f>
        <v>0</v>
      </c>
      <c r="AH6" s="360">
        <f>'Table 5C1F-Lake Charles Charter'!P7</f>
        <v>0</v>
      </c>
      <c r="AI6" s="358">
        <f>'Table 5C1G-JS Clark Academy'!P7</f>
        <v>0</v>
      </c>
      <c r="AJ6" s="358">
        <f>'Table 5C1H-Southwest LA Charter'!P7</f>
        <v>0</v>
      </c>
      <c r="AK6" s="358">
        <f>'Table 5C1I-LA Key Academy'!P7</f>
        <v>0</v>
      </c>
      <c r="AL6" s="358">
        <f>'Table 5C1J-Jefferson Chamber'!P7</f>
        <v>0</v>
      </c>
      <c r="AM6" s="358">
        <f>'Table 5C1K-Tallulah Charter'!P7</f>
        <v>0</v>
      </c>
      <c r="AN6" s="358">
        <f>'Table 5C1L-Northshore Charter'!P7</f>
        <v>0</v>
      </c>
      <c r="AO6" s="358">
        <f>'Table 5C1M-EBR Charter'!P7</f>
        <v>0</v>
      </c>
      <c r="AP6" s="358">
        <f>'Table 5C1N-Delta Charter'!P7</f>
        <v>0</v>
      </c>
      <c r="AQ6" s="358">
        <f>'Table 5C2 - LA Virtual Admy'!Q4</f>
        <v>-68</v>
      </c>
      <c r="AR6" s="358">
        <f>'Table 5C3 - LA Connections EBR'!Q4</f>
        <v>-88</v>
      </c>
      <c r="AS6" s="736">
        <f t="shared" ref="AS6:AS37" si="38">SUM(Y6:AR6)</f>
        <v>4273859</v>
      </c>
      <c r="AT6" s="47"/>
      <c r="AZ6"/>
      <c r="BI6"/>
    </row>
    <row r="7" spans="1:61">
      <c r="A7" s="99">
        <v>2</v>
      </c>
      <c r="B7" s="302" t="s">
        <v>94</v>
      </c>
      <c r="C7" s="311">
        <f>'Table 2_State Distrib and Adjs'!V8</f>
        <v>2386652</v>
      </c>
      <c r="D7" s="358"/>
      <c r="E7" s="358"/>
      <c r="F7" s="358">
        <f>-'Table 5C1A-Madison Prep'!T8</f>
        <v>0</v>
      </c>
      <c r="G7" s="358">
        <f>-'Table 5C1B-DArbonne'!T8</f>
        <v>0</v>
      </c>
      <c r="H7" s="358">
        <f>-'Table 5C1C-Intl_VIBE'!T8</f>
        <v>0</v>
      </c>
      <c r="I7" s="358">
        <f>-'Table 5C1D-NOMMA'!T8</f>
        <v>0</v>
      </c>
      <c r="J7" s="358"/>
      <c r="K7" s="358">
        <f>-'Table 5C1E-LFNO'!V8</f>
        <v>0</v>
      </c>
      <c r="L7" s="358">
        <f>-'Table 5C1F-Lake Charles Charter'!T8</f>
        <v>0</v>
      </c>
      <c r="M7" s="358">
        <f>-'Table 5C1G-JS Clark Academy'!T8</f>
        <v>0</v>
      </c>
      <c r="N7" s="358">
        <f>-'Table 5C1H-Southwest LA Charter'!T8</f>
        <v>0</v>
      </c>
      <c r="O7" s="358">
        <f>-'Table 5C1I-LA Key Academy'!T8</f>
        <v>0</v>
      </c>
      <c r="P7" s="358">
        <f>-'Table 5C1J-Jefferson Chamber'!T8</f>
        <v>0</v>
      </c>
      <c r="Q7" s="358">
        <f>-'Table 5C1K-Tallulah Charter'!T8</f>
        <v>0</v>
      </c>
      <c r="R7" s="358">
        <f>-'Table 5C1L-Northshore Charter'!T8</f>
        <v>0</v>
      </c>
      <c r="S7" s="358">
        <f>-'Table 5C1M-EBR Charter'!T8</f>
        <v>0</v>
      </c>
      <c r="T7" s="358">
        <f>-'Table 5C1N-Delta Charter'!T8</f>
        <v>0</v>
      </c>
      <c r="U7" s="358">
        <f>-'Table 5C2 - LA Virtual Admy'!U5</f>
        <v>-882</v>
      </c>
      <c r="V7" s="358">
        <f>-'Table 5C3 - LA Connections EBR'!U5</f>
        <v>-393</v>
      </c>
      <c r="W7" s="358">
        <f>-'Table 5E_OJJ'!S8</f>
        <v>0</v>
      </c>
      <c r="X7" s="1524">
        <f t="shared" ref="X7:X70" si="39">SUM(D7:W7)</f>
        <v>-1275</v>
      </c>
      <c r="Y7" s="736">
        <f t="shared" ref="Y7:Y70" si="40">C7+X7</f>
        <v>2385377</v>
      </c>
      <c r="Z7" s="358"/>
      <c r="AA7" s="358"/>
      <c r="AB7" s="358"/>
      <c r="AC7" s="358">
        <f>'Table 5C1A-Madison Prep'!P8</f>
        <v>0</v>
      </c>
      <c r="AD7" s="358">
        <f>'Table 5C1B-DArbonne'!P8</f>
        <v>0</v>
      </c>
      <c r="AE7" s="358">
        <f>'Table 5C1C-Intl_VIBE'!P8</f>
        <v>0</v>
      </c>
      <c r="AF7" s="358">
        <f>'Table 5C1D-NOMMA'!P8</f>
        <v>0</v>
      </c>
      <c r="AG7" s="358">
        <f>'Table 5C1E-LFNO'!R8</f>
        <v>0</v>
      </c>
      <c r="AH7" s="358">
        <f>'Table 5C1F-Lake Charles Charter'!P8</f>
        <v>0</v>
      </c>
      <c r="AI7" s="358">
        <f>'Table 5C1G-JS Clark Academy'!P8</f>
        <v>0</v>
      </c>
      <c r="AJ7" s="358">
        <f>'Table 5C1H-Southwest LA Charter'!P8</f>
        <v>0</v>
      </c>
      <c r="AK7" s="358">
        <f>'Table 5C1I-LA Key Academy'!P8</f>
        <v>0</v>
      </c>
      <c r="AL7" s="358">
        <f>'Table 5C1J-Jefferson Chamber'!P8</f>
        <v>0</v>
      </c>
      <c r="AM7" s="358">
        <f>'Table 5C1K-Tallulah Charter'!P8</f>
        <v>0</v>
      </c>
      <c r="AN7" s="358">
        <f>'Table 5C1L-Northshore Charter'!P8</f>
        <v>0</v>
      </c>
      <c r="AO7" s="358">
        <f>'Table 5C1M-EBR Charter'!P8</f>
        <v>0</v>
      </c>
      <c r="AP7" s="358">
        <f>'Table 5C1N-Delta Charter'!P8</f>
        <v>0</v>
      </c>
      <c r="AQ7" s="358">
        <f>'Table 5C2 - LA Virtual Admy'!Q5</f>
        <v>-24</v>
      </c>
      <c r="AR7" s="358">
        <f>'Table 5C3 - LA Connections EBR'!Q5</f>
        <v>-12</v>
      </c>
      <c r="AS7" s="736">
        <f t="shared" si="38"/>
        <v>2385341</v>
      </c>
      <c r="AT7" s="47"/>
      <c r="AZ7"/>
      <c r="BI7"/>
    </row>
    <row r="8" spans="1:61">
      <c r="A8" s="99">
        <v>3</v>
      </c>
      <c r="B8" s="302" t="s">
        <v>95</v>
      </c>
      <c r="C8" s="311">
        <f>'Table 2_State Distrib and Adjs'!V9</f>
        <v>8216073</v>
      </c>
      <c r="D8" s="358"/>
      <c r="E8" s="358"/>
      <c r="F8" s="358">
        <f>-'Table 5C1A-Madison Prep'!T9</f>
        <v>0</v>
      </c>
      <c r="G8" s="358">
        <f>-'Table 5C1B-DArbonne'!T9</f>
        <v>0</v>
      </c>
      <c r="H8" s="358">
        <f>-'Table 5C1C-Intl_VIBE'!T9</f>
        <v>0</v>
      </c>
      <c r="I8" s="358">
        <f>-'Table 5C1D-NOMMA'!T9</f>
        <v>0</v>
      </c>
      <c r="J8" s="358"/>
      <c r="K8" s="358">
        <f>-'Table 5C1E-LFNO'!V9</f>
        <v>0</v>
      </c>
      <c r="L8" s="358">
        <f>-'Table 5C1F-Lake Charles Charter'!T9</f>
        <v>0</v>
      </c>
      <c r="M8" s="358">
        <f>-'Table 5C1G-JS Clark Academy'!T9</f>
        <v>0</v>
      </c>
      <c r="N8" s="358">
        <f>-'Table 5C1H-Southwest LA Charter'!T9</f>
        <v>0</v>
      </c>
      <c r="O8" s="358">
        <f>-'Table 5C1I-LA Key Academy'!T9</f>
        <v>-9931.9412499999999</v>
      </c>
      <c r="P8" s="358">
        <f>-'Table 5C1J-Jefferson Chamber'!T9</f>
        <v>0</v>
      </c>
      <c r="Q8" s="358">
        <f>-'Table 5C1K-Tallulah Charter'!T9</f>
        <v>0</v>
      </c>
      <c r="R8" s="358">
        <f>-'Table 5C1L-Northshore Charter'!T9</f>
        <v>0</v>
      </c>
      <c r="S8" s="358">
        <f>-'Table 5C1M-EBR Charter'!T9</f>
        <v>0</v>
      </c>
      <c r="T8" s="358">
        <f>-'Table 5C1N-Delta Charter'!T9</f>
        <v>0</v>
      </c>
      <c r="U8" s="358">
        <f>-'Table 5C2 - LA Virtual Admy'!U6</f>
        <v>-16770</v>
      </c>
      <c r="V8" s="358">
        <f>-'Table 5C3 - LA Connections EBR'!U6</f>
        <v>-10970</v>
      </c>
      <c r="W8" s="358">
        <f>-'Table 5E_OJJ'!S9</f>
        <v>-380</v>
      </c>
      <c r="X8" s="1524">
        <f t="shared" si="39"/>
        <v>-38051.941250000003</v>
      </c>
      <c r="Y8" s="736">
        <f t="shared" si="40"/>
        <v>8178021.0587499999</v>
      </c>
      <c r="Z8" s="358"/>
      <c r="AA8" s="358"/>
      <c r="AB8" s="358"/>
      <c r="AC8" s="358">
        <f>'Table 5C1A-Madison Prep'!P9</f>
        <v>0</v>
      </c>
      <c r="AD8" s="358">
        <f>'Table 5C1B-DArbonne'!P9</f>
        <v>0</v>
      </c>
      <c r="AE8" s="358">
        <f>'Table 5C1C-Intl_VIBE'!P9</f>
        <v>0</v>
      </c>
      <c r="AF8" s="358">
        <f>'Table 5C1D-NOMMA'!P9</f>
        <v>0</v>
      </c>
      <c r="AG8" s="358">
        <f>'Table 5C1E-LFNO'!R9</f>
        <v>0</v>
      </c>
      <c r="AH8" s="358">
        <f>'Table 5C1F-Lake Charles Charter'!P9</f>
        <v>0</v>
      </c>
      <c r="AI8" s="358">
        <f>'Table 5C1G-JS Clark Academy'!P9</f>
        <v>0</v>
      </c>
      <c r="AJ8" s="358">
        <f>'Table 5C1H-Southwest LA Charter'!P9</f>
        <v>0</v>
      </c>
      <c r="AK8" s="358">
        <f>'Table 5C1I-LA Key Academy'!P9</f>
        <v>-298.70499999999998</v>
      </c>
      <c r="AL8" s="358">
        <f>'Table 5C1J-Jefferson Chamber'!P9</f>
        <v>0</v>
      </c>
      <c r="AM8" s="358">
        <f>'Table 5C1K-Tallulah Charter'!P9</f>
        <v>0</v>
      </c>
      <c r="AN8" s="358">
        <f>'Table 5C1L-Northshore Charter'!P9</f>
        <v>0</v>
      </c>
      <c r="AO8" s="358">
        <f>'Table 5C1M-EBR Charter'!P9</f>
        <v>0</v>
      </c>
      <c r="AP8" s="358">
        <f>'Table 5C1N-Delta Charter'!P9</f>
        <v>0</v>
      </c>
      <c r="AQ8" s="358">
        <f>'Table 5C2 - LA Virtual Admy'!Q6</f>
        <v>-489</v>
      </c>
      <c r="AR8" s="358">
        <f>'Table 5C3 - LA Connections EBR'!Q6</f>
        <v>-330</v>
      </c>
      <c r="AS8" s="736">
        <f t="shared" si="38"/>
        <v>8176903.3537499998</v>
      </c>
      <c r="AT8" s="47"/>
      <c r="AZ8"/>
      <c r="BI8"/>
    </row>
    <row r="9" spans="1:61">
      <c r="A9" s="99">
        <v>4</v>
      </c>
      <c r="B9" s="302" t="s">
        <v>96</v>
      </c>
      <c r="C9" s="311">
        <f>'Table 2_State Distrib and Adjs'!V10</f>
        <v>1944086</v>
      </c>
      <c r="D9" s="358"/>
      <c r="E9" s="358"/>
      <c r="F9" s="358">
        <f>-'Table 5C1A-Madison Prep'!T10</f>
        <v>0</v>
      </c>
      <c r="G9" s="358">
        <f>-'Table 5C1B-DArbonne'!T10</f>
        <v>0</v>
      </c>
      <c r="H9" s="358">
        <f>-'Table 5C1C-Intl_VIBE'!T10</f>
        <v>0</v>
      </c>
      <c r="I9" s="358">
        <f>-'Table 5C1D-NOMMA'!T10</f>
        <v>0</v>
      </c>
      <c r="J9" s="358"/>
      <c r="K9" s="358">
        <f>-'Table 5C1E-LFNO'!V10</f>
        <v>0</v>
      </c>
      <c r="L9" s="358">
        <f>-'Table 5C1F-Lake Charles Charter'!T10</f>
        <v>0</v>
      </c>
      <c r="M9" s="358">
        <f>-'Table 5C1G-JS Clark Academy'!T10</f>
        <v>0</v>
      </c>
      <c r="N9" s="358">
        <f>-'Table 5C1H-Southwest LA Charter'!T10</f>
        <v>0</v>
      </c>
      <c r="O9" s="358">
        <f>-'Table 5C1I-LA Key Academy'!T10</f>
        <v>0</v>
      </c>
      <c r="P9" s="358">
        <f>-'Table 5C1J-Jefferson Chamber'!T10</f>
        <v>0</v>
      </c>
      <c r="Q9" s="358">
        <f>-'Table 5C1K-Tallulah Charter'!T10</f>
        <v>0</v>
      </c>
      <c r="R9" s="358">
        <f>-'Table 5C1L-Northshore Charter'!T10</f>
        <v>0</v>
      </c>
      <c r="S9" s="358">
        <f>-'Table 5C1M-EBR Charter'!T10</f>
        <v>0</v>
      </c>
      <c r="T9" s="358">
        <f>-'Table 5C1N-Delta Charter'!T10</f>
        <v>0</v>
      </c>
      <c r="U9" s="358">
        <f>-'Table 5C2 - LA Virtual Admy'!U7</f>
        <v>279</v>
      </c>
      <c r="V9" s="358">
        <f>-'Table 5C3 - LA Connections EBR'!U7</f>
        <v>-680</v>
      </c>
      <c r="W9" s="358">
        <f>-'Table 5E_OJJ'!S10</f>
        <v>0</v>
      </c>
      <c r="X9" s="1524">
        <f t="shared" si="39"/>
        <v>-401</v>
      </c>
      <c r="Y9" s="736">
        <f t="shared" si="40"/>
        <v>1943685</v>
      </c>
      <c r="Z9" s="358"/>
      <c r="AA9" s="358"/>
      <c r="AB9" s="358"/>
      <c r="AC9" s="358">
        <f>'Table 5C1A-Madison Prep'!P10</f>
        <v>0</v>
      </c>
      <c r="AD9" s="358">
        <f>'Table 5C1B-DArbonne'!P10</f>
        <v>0</v>
      </c>
      <c r="AE9" s="358">
        <f>'Table 5C1C-Intl_VIBE'!P10</f>
        <v>0</v>
      </c>
      <c r="AF9" s="358">
        <f>'Table 5C1D-NOMMA'!P10</f>
        <v>0</v>
      </c>
      <c r="AG9" s="358">
        <f>'Table 5C1E-LFNO'!R10</f>
        <v>0</v>
      </c>
      <c r="AH9" s="358">
        <f>'Table 5C1F-Lake Charles Charter'!P10</f>
        <v>0</v>
      </c>
      <c r="AI9" s="358">
        <f>'Table 5C1G-JS Clark Academy'!P10</f>
        <v>0</v>
      </c>
      <c r="AJ9" s="358">
        <f>'Table 5C1H-Southwest LA Charter'!P10</f>
        <v>0</v>
      </c>
      <c r="AK9" s="358">
        <f>'Table 5C1I-LA Key Academy'!P10</f>
        <v>0</v>
      </c>
      <c r="AL9" s="358">
        <f>'Table 5C1J-Jefferson Chamber'!P10</f>
        <v>0</v>
      </c>
      <c r="AM9" s="358">
        <f>'Table 5C1K-Tallulah Charter'!P10</f>
        <v>0</v>
      </c>
      <c r="AN9" s="358">
        <f>'Table 5C1L-Northshore Charter'!P10</f>
        <v>0</v>
      </c>
      <c r="AO9" s="358">
        <f>'Table 5C1M-EBR Charter'!P10</f>
        <v>0</v>
      </c>
      <c r="AP9" s="358">
        <f>'Table 5C1N-Delta Charter'!P10</f>
        <v>0</v>
      </c>
      <c r="AQ9" s="358">
        <f>'Table 5C2 - LA Virtual Admy'!Q7</f>
        <v>-20</v>
      </c>
      <c r="AR9" s="358">
        <f>'Table 5C3 - LA Connections EBR'!Q7</f>
        <v>-20</v>
      </c>
      <c r="AS9" s="736">
        <f t="shared" si="38"/>
        <v>1943645</v>
      </c>
      <c r="AT9" s="47"/>
      <c r="AZ9"/>
      <c r="BI9"/>
    </row>
    <row r="10" spans="1:61">
      <c r="A10" s="100">
        <v>5</v>
      </c>
      <c r="B10" s="303" t="s">
        <v>97</v>
      </c>
      <c r="C10" s="319">
        <f>'Table 2_State Distrib and Adjs'!V11</f>
        <v>2641906</v>
      </c>
      <c r="D10" s="359"/>
      <c r="E10" s="359"/>
      <c r="F10" s="359">
        <f>-'Table 5C1A-Madison Prep'!T11</f>
        <v>0</v>
      </c>
      <c r="G10" s="359">
        <f>-'Table 5C1B-DArbonne'!T11</f>
        <v>0</v>
      </c>
      <c r="H10" s="359">
        <f>-'Table 5C1C-Intl_VIBE'!T11</f>
        <v>0</v>
      </c>
      <c r="I10" s="359">
        <f>-'Table 5C1D-NOMMA'!T11</f>
        <v>0</v>
      </c>
      <c r="J10" s="359"/>
      <c r="K10" s="359">
        <f>-'Table 5C1E-LFNO'!V11</f>
        <v>0</v>
      </c>
      <c r="L10" s="359">
        <f>-'Table 5C1F-Lake Charles Charter'!T11</f>
        <v>0</v>
      </c>
      <c r="M10" s="359">
        <f>-'Table 5C1G-JS Clark Academy'!T11</f>
        <v>0</v>
      </c>
      <c r="N10" s="359">
        <f>-'Table 5C1H-Southwest LA Charter'!T11</f>
        <v>0</v>
      </c>
      <c r="O10" s="359">
        <f>-'Table 5C1I-LA Key Academy'!T11</f>
        <v>0</v>
      </c>
      <c r="P10" s="359">
        <f>-'Table 5C1J-Jefferson Chamber'!T11</f>
        <v>0</v>
      </c>
      <c r="Q10" s="359">
        <f>-'Table 5C1K-Tallulah Charter'!T11</f>
        <v>0</v>
      </c>
      <c r="R10" s="359">
        <f>-'Table 5C1L-Northshore Charter'!T11</f>
        <v>0</v>
      </c>
      <c r="S10" s="359">
        <f>-'Table 5C1M-EBR Charter'!T11</f>
        <v>0</v>
      </c>
      <c r="T10" s="359">
        <f>-'Table 5C1N-Delta Charter'!T11</f>
        <v>0</v>
      </c>
      <c r="U10" s="359">
        <f>-'Table 5C2 - LA Virtual Admy'!U8</f>
        <v>-2862</v>
      </c>
      <c r="V10" s="359">
        <f>-'Table 5C3 - LA Connections EBR'!U8</f>
        <v>-1834</v>
      </c>
      <c r="W10" s="359">
        <f>-'Table 5E_OJJ'!S11</f>
        <v>-323</v>
      </c>
      <c r="X10" s="359">
        <f t="shared" si="39"/>
        <v>-5019</v>
      </c>
      <c r="Y10" s="737">
        <f t="shared" si="40"/>
        <v>2636887</v>
      </c>
      <c r="Z10" s="359"/>
      <c r="AA10" s="359"/>
      <c r="AB10" s="359"/>
      <c r="AC10" s="359">
        <f>'Table 5C1A-Madison Prep'!P11</f>
        <v>0</v>
      </c>
      <c r="AD10" s="359">
        <f>'Table 5C1B-DArbonne'!P11</f>
        <v>0</v>
      </c>
      <c r="AE10" s="359">
        <f>'Table 5C1C-Intl_VIBE'!P11</f>
        <v>0</v>
      </c>
      <c r="AF10" s="359">
        <f>'Table 5C1D-NOMMA'!P11</f>
        <v>0</v>
      </c>
      <c r="AG10" s="359">
        <f>'Table 5C1E-LFNO'!R11</f>
        <v>0</v>
      </c>
      <c r="AH10" s="359">
        <f>'Table 5C1F-Lake Charles Charter'!P11</f>
        <v>0</v>
      </c>
      <c r="AI10" s="359">
        <f>'Table 5C1G-JS Clark Academy'!P11</f>
        <v>0</v>
      </c>
      <c r="AJ10" s="359">
        <f>'Table 5C1H-Southwest LA Charter'!P11</f>
        <v>0</v>
      </c>
      <c r="AK10" s="359">
        <f>'Table 5C1I-LA Key Academy'!P11</f>
        <v>0</v>
      </c>
      <c r="AL10" s="359">
        <f>'Table 5C1J-Jefferson Chamber'!P11</f>
        <v>0</v>
      </c>
      <c r="AM10" s="359">
        <f>'Table 5C1K-Tallulah Charter'!P11</f>
        <v>0</v>
      </c>
      <c r="AN10" s="359">
        <f>'Table 5C1L-Northshore Charter'!P11</f>
        <v>0</v>
      </c>
      <c r="AO10" s="359">
        <f>'Table 5C1M-EBR Charter'!P11</f>
        <v>0</v>
      </c>
      <c r="AP10" s="359">
        <f>'Table 5C1N-Delta Charter'!P11</f>
        <v>0</v>
      </c>
      <c r="AQ10" s="359">
        <f>'Table 5C2 - LA Virtual Admy'!Q8</f>
        <v>-79</v>
      </c>
      <c r="AR10" s="359">
        <f>'Table 5C3 - LA Connections EBR'!Q8</f>
        <v>-55</v>
      </c>
      <c r="AS10" s="737">
        <f t="shared" si="38"/>
        <v>2636753</v>
      </c>
      <c r="AT10" s="47"/>
      <c r="AZ10"/>
      <c r="BI10"/>
    </row>
    <row r="11" spans="1:61">
      <c r="A11" s="99">
        <v>6</v>
      </c>
      <c r="B11" s="302" t="s">
        <v>98</v>
      </c>
      <c r="C11" s="311">
        <f>'Table 2_State Distrib and Adjs'!V12</f>
        <v>2941187</v>
      </c>
      <c r="D11" s="358"/>
      <c r="E11" s="358"/>
      <c r="F11" s="358">
        <f>-'Table 5C1A-Madison Prep'!T12</f>
        <v>0</v>
      </c>
      <c r="G11" s="358">
        <f>-'Table 5C1B-DArbonne'!T12</f>
        <v>0</v>
      </c>
      <c r="H11" s="358">
        <f>-'Table 5C1C-Intl_VIBE'!T12</f>
        <v>0</v>
      </c>
      <c r="I11" s="358">
        <f>-'Table 5C1D-NOMMA'!T12</f>
        <v>0</v>
      </c>
      <c r="J11" s="358"/>
      <c r="K11" s="358">
        <f>-'Table 5C1E-LFNO'!V12</f>
        <v>0</v>
      </c>
      <c r="L11" s="358">
        <f>-'Table 5C1F-Lake Charles Charter'!T12</f>
        <v>0</v>
      </c>
      <c r="M11" s="358">
        <f>-'Table 5C1G-JS Clark Academy'!T12</f>
        <v>0</v>
      </c>
      <c r="N11" s="358">
        <f>-'Table 5C1H-Southwest LA Charter'!T12</f>
        <v>0</v>
      </c>
      <c r="O11" s="358">
        <f>-'Table 5C1I-LA Key Academy'!T12</f>
        <v>0</v>
      </c>
      <c r="P11" s="358">
        <f>-'Table 5C1J-Jefferson Chamber'!T12</f>
        <v>0</v>
      </c>
      <c r="Q11" s="358">
        <f>-'Table 5C1K-Tallulah Charter'!T12</f>
        <v>0</v>
      </c>
      <c r="R11" s="358">
        <f>-'Table 5C1L-Northshore Charter'!T12</f>
        <v>0</v>
      </c>
      <c r="S11" s="358">
        <f>-'Table 5C1M-EBR Charter'!T12</f>
        <v>0</v>
      </c>
      <c r="T11" s="358">
        <f>-'Table 5C1N-Delta Charter'!T12</f>
        <v>0</v>
      </c>
      <c r="U11" s="358">
        <f>-'Table 5C2 - LA Virtual Admy'!U9</f>
        <v>-4750</v>
      </c>
      <c r="V11" s="358">
        <f>-'Table 5C3 - LA Connections EBR'!U9</f>
        <v>-6147</v>
      </c>
      <c r="W11" s="358">
        <f>-'Table 5E_OJJ'!S12</f>
        <v>-569</v>
      </c>
      <c r="X11" s="1524">
        <f t="shared" si="39"/>
        <v>-11466</v>
      </c>
      <c r="Y11" s="736">
        <f t="shared" si="40"/>
        <v>2929721</v>
      </c>
      <c r="Z11" s="358"/>
      <c r="AA11" s="358"/>
      <c r="AB11" s="358"/>
      <c r="AC11" s="358">
        <f>'Table 5C1A-Madison Prep'!P12</f>
        <v>0</v>
      </c>
      <c r="AD11" s="358">
        <f>'Table 5C1B-DArbonne'!P12</f>
        <v>0</v>
      </c>
      <c r="AE11" s="358">
        <f>'Table 5C1C-Intl_VIBE'!P12</f>
        <v>0</v>
      </c>
      <c r="AF11" s="358">
        <f>'Table 5C1D-NOMMA'!P12</f>
        <v>0</v>
      </c>
      <c r="AG11" s="358">
        <f>'Table 5C1E-LFNO'!R12</f>
        <v>0</v>
      </c>
      <c r="AH11" s="358">
        <f>'Table 5C1F-Lake Charles Charter'!P12</f>
        <v>0</v>
      </c>
      <c r="AI11" s="358">
        <f>'Table 5C1G-JS Clark Academy'!P12</f>
        <v>0</v>
      </c>
      <c r="AJ11" s="358">
        <f>'Table 5C1H-Southwest LA Charter'!P12</f>
        <v>0</v>
      </c>
      <c r="AK11" s="358">
        <f>'Table 5C1I-LA Key Academy'!P12</f>
        <v>0</v>
      </c>
      <c r="AL11" s="358">
        <f>'Table 5C1J-Jefferson Chamber'!P12</f>
        <v>0</v>
      </c>
      <c r="AM11" s="358">
        <f>'Table 5C1K-Tallulah Charter'!P12</f>
        <v>0</v>
      </c>
      <c r="AN11" s="358">
        <f>'Table 5C1L-Northshore Charter'!P12</f>
        <v>0</v>
      </c>
      <c r="AO11" s="358">
        <f>'Table 5C1M-EBR Charter'!P12</f>
        <v>0</v>
      </c>
      <c r="AP11" s="358">
        <f>'Table 5C1N-Delta Charter'!P12</f>
        <v>0</v>
      </c>
      <c r="AQ11" s="358">
        <f>'Table 5C2 - LA Virtual Admy'!Q9</f>
        <v>-143</v>
      </c>
      <c r="AR11" s="358">
        <f>'Table 5C3 - LA Connections EBR'!Q9</f>
        <v>-185</v>
      </c>
      <c r="AS11" s="736">
        <f t="shared" si="38"/>
        <v>2929393</v>
      </c>
      <c r="AT11" s="47"/>
      <c r="AZ11"/>
      <c r="BI11"/>
    </row>
    <row r="12" spans="1:61">
      <c r="A12" s="99">
        <v>7</v>
      </c>
      <c r="B12" s="302" t="s">
        <v>99</v>
      </c>
      <c r="C12" s="311">
        <f>'Table 2_State Distrib and Adjs'!V13</f>
        <v>460585</v>
      </c>
      <c r="D12" s="358"/>
      <c r="E12" s="358"/>
      <c r="F12" s="358">
        <f>-'Table 5C1A-Madison Prep'!T13</f>
        <v>0</v>
      </c>
      <c r="G12" s="358">
        <f>-'Table 5C1B-DArbonne'!T13</f>
        <v>0</v>
      </c>
      <c r="H12" s="358">
        <f>-'Table 5C1C-Intl_VIBE'!T13</f>
        <v>0</v>
      </c>
      <c r="I12" s="358">
        <f>-'Table 5C1D-NOMMA'!T13</f>
        <v>0</v>
      </c>
      <c r="J12" s="358"/>
      <c r="K12" s="358">
        <f>-'Table 5C1E-LFNO'!V13</f>
        <v>0</v>
      </c>
      <c r="L12" s="358">
        <f>-'Table 5C1F-Lake Charles Charter'!T13</f>
        <v>0</v>
      </c>
      <c r="M12" s="358">
        <f>-'Table 5C1G-JS Clark Academy'!T13</f>
        <v>0</v>
      </c>
      <c r="N12" s="358">
        <f>-'Table 5C1H-Southwest LA Charter'!T13</f>
        <v>0</v>
      </c>
      <c r="O12" s="358">
        <f>-'Table 5C1I-LA Key Academy'!T13</f>
        <v>0</v>
      </c>
      <c r="P12" s="358">
        <f>-'Table 5C1J-Jefferson Chamber'!T13</f>
        <v>0</v>
      </c>
      <c r="Q12" s="358">
        <f>-'Table 5C1K-Tallulah Charter'!T13</f>
        <v>0</v>
      </c>
      <c r="R12" s="358">
        <f>-'Table 5C1L-Northshore Charter'!T13</f>
        <v>0</v>
      </c>
      <c r="S12" s="358">
        <f>-'Table 5C1M-EBR Charter'!T13</f>
        <v>0</v>
      </c>
      <c r="T12" s="358">
        <f>-'Table 5C1N-Delta Charter'!T13</f>
        <v>0</v>
      </c>
      <c r="U12" s="358">
        <f>-'Table 5C2 - LA Virtual Admy'!U10</f>
        <v>-1026</v>
      </c>
      <c r="V12" s="358">
        <f>-'Table 5C3 - LA Connections EBR'!U10</f>
        <v>-6780</v>
      </c>
      <c r="W12" s="358">
        <f>-'Table 5E_OJJ'!S13</f>
        <v>-141</v>
      </c>
      <c r="X12" s="1524">
        <f t="shared" si="39"/>
        <v>-7947</v>
      </c>
      <c r="Y12" s="736">
        <f t="shared" si="40"/>
        <v>452638</v>
      </c>
      <c r="Z12" s="358"/>
      <c r="AA12" s="358"/>
      <c r="AB12" s="358"/>
      <c r="AC12" s="358">
        <f>'Table 5C1A-Madison Prep'!P13</f>
        <v>0</v>
      </c>
      <c r="AD12" s="358">
        <f>'Table 5C1B-DArbonne'!P13</f>
        <v>0</v>
      </c>
      <c r="AE12" s="358">
        <f>'Table 5C1C-Intl_VIBE'!P13</f>
        <v>0</v>
      </c>
      <c r="AF12" s="358">
        <f>'Table 5C1D-NOMMA'!P13</f>
        <v>0</v>
      </c>
      <c r="AG12" s="358">
        <f>'Table 5C1E-LFNO'!R13</f>
        <v>0</v>
      </c>
      <c r="AH12" s="358">
        <f>'Table 5C1F-Lake Charles Charter'!P13</f>
        <v>0</v>
      </c>
      <c r="AI12" s="358">
        <f>'Table 5C1G-JS Clark Academy'!P13</f>
        <v>0</v>
      </c>
      <c r="AJ12" s="358">
        <f>'Table 5C1H-Southwest LA Charter'!P13</f>
        <v>0</v>
      </c>
      <c r="AK12" s="358">
        <f>'Table 5C1I-LA Key Academy'!P13</f>
        <v>0</v>
      </c>
      <c r="AL12" s="358">
        <f>'Table 5C1J-Jefferson Chamber'!P13</f>
        <v>0</v>
      </c>
      <c r="AM12" s="358">
        <f>'Table 5C1K-Tallulah Charter'!P13</f>
        <v>0</v>
      </c>
      <c r="AN12" s="358">
        <f>'Table 5C1L-Northshore Charter'!P13</f>
        <v>0</v>
      </c>
      <c r="AO12" s="358">
        <f>'Table 5C1M-EBR Charter'!P13</f>
        <v>0</v>
      </c>
      <c r="AP12" s="358">
        <f>'Table 5C1N-Delta Charter'!P13</f>
        <v>0</v>
      </c>
      <c r="AQ12" s="358">
        <f>'Table 5C2 - LA Virtual Admy'!Q10</f>
        <v>-102</v>
      </c>
      <c r="AR12" s="358">
        <f>'Table 5C3 - LA Connections EBR'!Q10</f>
        <v>-204</v>
      </c>
      <c r="AS12" s="736">
        <f t="shared" si="38"/>
        <v>452332</v>
      </c>
      <c r="AT12" s="47"/>
      <c r="AZ12"/>
      <c r="BI12"/>
    </row>
    <row r="13" spans="1:61">
      <c r="A13" s="99">
        <v>8</v>
      </c>
      <c r="B13" s="302" t="s">
        <v>100</v>
      </c>
      <c r="C13" s="311">
        <f>'Table 2_State Distrib and Adjs'!V14</f>
        <v>8822714</v>
      </c>
      <c r="D13" s="358"/>
      <c r="E13" s="358"/>
      <c r="F13" s="358">
        <f>-'Table 5C1A-Madison Prep'!T14</f>
        <v>0</v>
      </c>
      <c r="G13" s="358">
        <f>-'Table 5C1B-DArbonne'!T14</f>
        <v>0</v>
      </c>
      <c r="H13" s="358">
        <f>-'Table 5C1C-Intl_VIBE'!T14</f>
        <v>0</v>
      </c>
      <c r="I13" s="358">
        <f>-'Table 5C1D-NOMMA'!T14</f>
        <v>0</v>
      </c>
      <c r="J13" s="358"/>
      <c r="K13" s="358">
        <f>-'Table 5C1E-LFNO'!V14</f>
        <v>0</v>
      </c>
      <c r="L13" s="358">
        <f>-'Table 5C1F-Lake Charles Charter'!T14</f>
        <v>0</v>
      </c>
      <c r="M13" s="358">
        <f>-'Table 5C1G-JS Clark Academy'!T14</f>
        <v>0</v>
      </c>
      <c r="N13" s="358">
        <f>-'Table 5C1H-Southwest LA Charter'!T14</f>
        <v>0</v>
      </c>
      <c r="O13" s="358">
        <f>-'Table 5C1I-LA Key Academy'!T14</f>
        <v>0</v>
      </c>
      <c r="P13" s="358">
        <f>-'Table 5C1J-Jefferson Chamber'!T14</f>
        <v>0</v>
      </c>
      <c r="Q13" s="358">
        <f>-'Table 5C1K-Tallulah Charter'!T14</f>
        <v>0</v>
      </c>
      <c r="R13" s="358">
        <f>-'Table 5C1L-Northshore Charter'!T14</f>
        <v>0</v>
      </c>
      <c r="S13" s="358">
        <f>-'Table 5C1M-EBR Charter'!T14</f>
        <v>0</v>
      </c>
      <c r="T13" s="358">
        <f>-'Table 5C1N-Delta Charter'!T14</f>
        <v>0</v>
      </c>
      <c r="U13" s="358">
        <f>-'Table 5C2 - LA Virtual Admy'!U11</f>
        <v>-10251</v>
      </c>
      <c r="V13" s="358">
        <f>-'Table 5C3 - LA Connections EBR'!U11</f>
        <v>-13180</v>
      </c>
      <c r="W13" s="358">
        <f>-'Table 5E_OJJ'!S14</f>
        <v>-1694</v>
      </c>
      <c r="X13" s="1524">
        <f t="shared" si="39"/>
        <v>-25125</v>
      </c>
      <c r="Y13" s="736">
        <f t="shared" si="40"/>
        <v>8797589</v>
      </c>
      <c r="Z13" s="358"/>
      <c r="AA13" s="358"/>
      <c r="AB13" s="358"/>
      <c r="AC13" s="358">
        <f>'Table 5C1A-Madison Prep'!P14</f>
        <v>0</v>
      </c>
      <c r="AD13" s="358">
        <f>'Table 5C1B-DArbonne'!P14</f>
        <v>0</v>
      </c>
      <c r="AE13" s="358">
        <f>'Table 5C1C-Intl_VIBE'!P14</f>
        <v>0</v>
      </c>
      <c r="AF13" s="358">
        <f>'Table 5C1D-NOMMA'!P14</f>
        <v>0</v>
      </c>
      <c r="AG13" s="358">
        <f>'Table 5C1E-LFNO'!R14</f>
        <v>0</v>
      </c>
      <c r="AH13" s="358">
        <f>'Table 5C1F-Lake Charles Charter'!P14</f>
        <v>0</v>
      </c>
      <c r="AI13" s="358">
        <f>'Table 5C1G-JS Clark Academy'!P14</f>
        <v>0</v>
      </c>
      <c r="AJ13" s="358">
        <f>'Table 5C1H-Southwest LA Charter'!P14</f>
        <v>0</v>
      </c>
      <c r="AK13" s="358">
        <f>'Table 5C1I-LA Key Academy'!P14</f>
        <v>0</v>
      </c>
      <c r="AL13" s="358">
        <f>'Table 5C1J-Jefferson Chamber'!P14</f>
        <v>0</v>
      </c>
      <c r="AM13" s="358">
        <f>'Table 5C1K-Tallulah Charter'!P14</f>
        <v>0</v>
      </c>
      <c r="AN13" s="358">
        <f>'Table 5C1L-Northshore Charter'!P14</f>
        <v>0</v>
      </c>
      <c r="AO13" s="358">
        <f>'Table 5C1M-EBR Charter'!P14</f>
        <v>0</v>
      </c>
      <c r="AP13" s="358">
        <f>'Table 5C1N-Delta Charter'!P14</f>
        <v>0</v>
      </c>
      <c r="AQ13" s="358">
        <f>'Table 5C2 - LA Virtual Admy'!Q11</f>
        <v>-308</v>
      </c>
      <c r="AR13" s="358">
        <f>'Table 5C3 - LA Connections EBR'!Q11</f>
        <v>-396</v>
      </c>
      <c r="AS13" s="736">
        <f t="shared" si="38"/>
        <v>8796885</v>
      </c>
      <c r="AT13" s="47"/>
      <c r="AZ13"/>
      <c r="BI13"/>
    </row>
    <row r="14" spans="1:61">
      <c r="A14" s="99">
        <v>9</v>
      </c>
      <c r="B14" s="302" t="s">
        <v>101</v>
      </c>
      <c r="C14" s="311">
        <f>'Table 2_State Distrib and Adjs'!V15</f>
        <v>17140253</v>
      </c>
      <c r="D14" s="358">
        <f>-'Table 5B2_RSD_LA'!X30</f>
        <v>-210955.07666666666</v>
      </c>
      <c r="E14" s="358"/>
      <c r="F14" s="358">
        <f>-'Table 5C1A-Madison Prep'!T15</f>
        <v>0</v>
      </c>
      <c r="G14" s="358">
        <f>-'Table 5C1B-DArbonne'!T15</f>
        <v>0</v>
      </c>
      <c r="H14" s="358">
        <f>-'Table 5C1C-Intl_VIBE'!T15</f>
        <v>0</v>
      </c>
      <c r="I14" s="358">
        <f>-'Table 5C1D-NOMMA'!T15</f>
        <v>0</v>
      </c>
      <c r="J14" s="358"/>
      <c r="K14" s="358">
        <f>-'Table 5C1E-LFNO'!V15</f>
        <v>0</v>
      </c>
      <c r="L14" s="358">
        <f>-'Table 5C1F-Lake Charles Charter'!T15</f>
        <v>0</v>
      </c>
      <c r="M14" s="358">
        <f>-'Table 5C1G-JS Clark Academy'!T15</f>
        <v>0</v>
      </c>
      <c r="N14" s="358">
        <f>-'Table 5C1H-Southwest LA Charter'!T15</f>
        <v>0</v>
      </c>
      <c r="O14" s="358">
        <f>-'Table 5C1I-LA Key Academy'!T15</f>
        <v>0</v>
      </c>
      <c r="P14" s="358">
        <f>-'Table 5C1J-Jefferson Chamber'!T15</f>
        <v>0</v>
      </c>
      <c r="Q14" s="358">
        <f>-'Table 5C1K-Tallulah Charter'!T15</f>
        <v>0</v>
      </c>
      <c r="R14" s="358">
        <f>-'Table 5C1L-Northshore Charter'!T15</f>
        <v>0</v>
      </c>
      <c r="S14" s="358">
        <f>-'Table 5C1M-EBR Charter'!T15</f>
        <v>0</v>
      </c>
      <c r="T14" s="358">
        <f>-'Table 5C1N-Delta Charter'!T15</f>
        <v>0</v>
      </c>
      <c r="U14" s="358">
        <f>-'Table 5C2 - LA Virtual Admy'!U12</f>
        <v>-30459</v>
      </c>
      <c r="V14" s="358">
        <f>-'Table 5C3 - LA Connections EBR'!U12</f>
        <v>-22500</v>
      </c>
      <c r="W14" s="358">
        <f>-'Table 5E_OJJ'!S15</f>
        <v>-8328</v>
      </c>
      <c r="X14" s="1524">
        <f t="shared" si="39"/>
        <v>-272242.07666666666</v>
      </c>
      <c r="Y14" s="736">
        <f t="shared" si="40"/>
        <v>16868010.923333332</v>
      </c>
      <c r="Z14" s="358">
        <f>'Table 5B2_RSD_LA'!R30</f>
        <v>-35008.82</v>
      </c>
      <c r="AA14" s="358">
        <f>'Table 5B2_RSD_LA'!S30</f>
        <v>-5001.26</v>
      </c>
      <c r="AB14" s="358"/>
      <c r="AC14" s="358">
        <f>'Table 5C1A-Madison Prep'!P15</f>
        <v>0</v>
      </c>
      <c r="AD14" s="358">
        <f>'Table 5C1B-DArbonne'!P15</f>
        <v>0</v>
      </c>
      <c r="AE14" s="358">
        <f>'Table 5C1C-Intl_VIBE'!P15</f>
        <v>0</v>
      </c>
      <c r="AF14" s="358">
        <f>'Table 5C1D-NOMMA'!P15</f>
        <v>0</v>
      </c>
      <c r="AG14" s="358">
        <f>'Table 5C1E-LFNO'!R15</f>
        <v>0</v>
      </c>
      <c r="AH14" s="358">
        <f>'Table 5C1F-Lake Charles Charter'!P15</f>
        <v>0</v>
      </c>
      <c r="AI14" s="358">
        <f>'Table 5C1G-JS Clark Academy'!P15</f>
        <v>0</v>
      </c>
      <c r="AJ14" s="358">
        <f>'Table 5C1H-Southwest LA Charter'!P15</f>
        <v>0</v>
      </c>
      <c r="AK14" s="358">
        <f>'Table 5C1I-LA Key Academy'!P15</f>
        <v>0</v>
      </c>
      <c r="AL14" s="358">
        <f>'Table 5C1J-Jefferson Chamber'!P15</f>
        <v>0</v>
      </c>
      <c r="AM14" s="358">
        <f>'Table 5C1K-Tallulah Charter'!P15</f>
        <v>0</v>
      </c>
      <c r="AN14" s="358">
        <f>'Table 5C1L-Northshore Charter'!P15</f>
        <v>0</v>
      </c>
      <c r="AO14" s="358">
        <f>'Table 5C1M-EBR Charter'!P15</f>
        <v>0</v>
      </c>
      <c r="AP14" s="358">
        <f>'Table 5C1N-Delta Charter'!P15</f>
        <v>0</v>
      </c>
      <c r="AQ14" s="358">
        <f>'Table 5C2 - LA Virtual Admy'!Q12</f>
        <v>-906</v>
      </c>
      <c r="AR14" s="358">
        <f>'Table 5C3 - LA Connections EBR'!Q12</f>
        <v>-677</v>
      </c>
      <c r="AS14" s="736">
        <f t="shared" si="38"/>
        <v>16826417.84333333</v>
      </c>
      <c r="AT14" s="47"/>
      <c r="AZ14"/>
      <c r="BI14"/>
    </row>
    <row r="15" spans="1:61">
      <c r="A15" s="100">
        <v>10</v>
      </c>
      <c r="B15" s="303" t="s">
        <v>102</v>
      </c>
      <c r="C15" s="319">
        <f>'Table 2_State Distrib and Adjs'!V16</f>
        <v>12411401</v>
      </c>
      <c r="D15" s="359"/>
      <c r="E15" s="359"/>
      <c r="F15" s="359">
        <f>-'Table 5C1A-Madison Prep'!T16</f>
        <v>0</v>
      </c>
      <c r="G15" s="359">
        <f>-'Table 5C1B-DArbonne'!T16</f>
        <v>0</v>
      </c>
      <c r="H15" s="359">
        <f>-'Table 5C1C-Intl_VIBE'!T16</f>
        <v>0</v>
      </c>
      <c r="I15" s="359">
        <f>-'Table 5C1D-NOMMA'!T16</f>
        <v>0</v>
      </c>
      <c r="J15" s="359"/>
      <c r="K15" s="359">
        <f>-'Table 5C1E-LFNO'!V16</f>
        <v>0</v>
      </c>
      <c r="L15" s="359">
        <f>-'Table 5C1F-Lake Charles Charter'!T16</f>
        <v>-281726.83437500003</v>
      </c>
      <c r="M15" s="359">
        <f>-'Table 5C1G-JS Clark Academy'!T16</f>
        <v>0</v>
      </c>
      <c r="N15" s="359">
        <f>-'Table 5C1H-Southwest LA Charter'!T16</f>
        <v>-195156.46937499999</v>
      </c>
      <c r="O15" s="359">
        <f>-'Table 5C1I-LA Key Academy'!T16</f>
        <v>0</v>
      </c>
      <c r="P15" s="359">
        <f>-'Table 5C1J-Jefferson Chamber'!T16</f>
        <v>0</v>
      </c>
      <c r="Q15" s="359">
        <f>-'Table 5C1K-Tallulah Charter'!T16</f>
        <v>0</v>
      </c>
      <c r="R15" s="359">
        <f>-'Table 5C1L-Northshore Charter'!T16</f>
        <v>0</v>
      </c>
      <c r="S15" s="359">
        <f>-'Table 5C1M-EBR Charter'!T16</f>
        <v>0</v>
      </c>
      <c r="T15" s="359">
        <f>-'Table 5C1N-Delta Charter'!T16</f>
        <v>0</v>
      </c>
      <c r="U15" s="359">
        <f>-'Table 5C2 - LA Virtual Admy'!U13</f>
        <v>-18206</v>
      </c>
      <c r="V15" s="359">
        <f>-'Table 5C3 - LA Connections EBR'!U13</f>
        <v>-17799</v>
      </c>
      <c r="W15" s="359">
        <f>-'Table 5E_OJJ'!S16</f>
        <v>-3646</v>
      </c>
      <c r="X15" s="359">
        <f t="shared" si="39"/>
        <v>-516534.30375000002</v>
      </c>
      <c r="Y15" s="737">
        <f t="shared" si="40"/>
        <v>11894866.696249999</v>
      </c>
      <c r="Z15" s="359"/>
      <c r="AA15" s="359"/>
      <c r="AB15" s="359"/>
      <c r="AC15" s="359">
        <f>'Table 5C1A-Madison Prep'!P16</f>
        <v>0</v>
      </c>
      <c r="AD15" s="359">
        <f>'Table 5C1B-DArbonne'!P16</f>
        <v>0</v>
      </c>
      <c r="AE15" s="359">
        <f>'Table 5C1C-Intl_VIBE'!P16</f>
        <v>0</v>
      </c>
      <c r="AF15" s="359">
        <f>'Table 5C1D-NOMMA'!P16</f>
        <v>0</v>
      </c>
      <c r="AG15" s="359">
        <f>'Table 5C1E-LFNO'!R16</f>
        <v>0</v>
      </c>
      <c r="AH15" s="359">
        <f>'Table 5C1F-Lake Charles Charter'!P16</f>
        <v>-8472.9874999999993</v>
      </c>
      <c r="AI15" s="359">
        <f>'Table 5C1G-JS Clark Academy'!P16</f>
        <v>0</v>
      </c>
      <c r="AJ15" s="359">
        <f>'Table 5C1H-Southwest LA Charter'!P16</f>
        <v>-5869.3675000000003</v>
      </c>
      <c r="AK15" s="359">
        <f>'Table 5C1I-LA Key Academy'!P16</f>
        <v>0</v>
      </c>
      <c r="AL15" s="359">
        <f>'Table 5C1J-Jefferson Chamber'!P16</f>
        <v>0</v>
      </c>
      <c r="AM15" s="359">
        <f>'Table 5C1K-Tallulah Charter'!P16</f>
        <v>0</v>
      </c>
      <c r="AN15" s="359">
        <f>'Table 5C1L-Northshore Charter'!P16</f>
        <v>0</v>
      </c>
      <c r="AO15" s="359">
        <f>'Table 5C1M-EBR Charter'!P16</f>
        <v>0</v>
      </c>
      <c r="AP15" s="359">
        <f>'Table 5C1N-Delta Charter'!P16</f>
        <v>0</v>
      </c>
      <c r="AQ15" s="359">
        <f>'Table 5C2 - LA Virtual Admy'!Q13</f>
        <v>-576</v>
      </c>
      <c r="AR15" s="359">
        <f>'Table 5C3 - LA Connections EBR'!Q13</f>
        <v>-535</v>
      </c>
      <c r="AS15" s="737">
        <f t="shared" si="38"/>
        <v>11879413.341249999</v>
      </c>
      <c r="AT15" s="47"/>
      <c r="AZ15"/>
      <c r="BI15"/>
    </row>
    <row r="16" spans="1:61">
      <c r="A16" s="99">
        <v>11</v>
      </c>
      <c r="B16" s="302" t="s">
        <v>103</v>
      </c>
      <c r="C16" s="311">
        <f>'Table 2_State Distrib and Adjs'!V17</f>
        <v>972021</v>
      </c>
      <c r="D16" s="358"/>
      <c r="E16" s="358"/>
      <c r="F16" s="358">
        <f>-'Table 5C1A-Madison Prep'!T17</f>
        <v>0</v>
      </c>
      <c r="G16" s="358">
        <f>-'Table 5C1B-DArbonne'!T17</f>
        <v>0</v>
      </c>
      <c r="H16" s="358">
        <f>-'Table 5C1C-Intl_VIBE'!T17</f>
        <v>0</v>
      </c>
      <c r="I16" s="358">
        <f>-'Table 5C1D-NOMMA'!T17</f>
        <v>0</v>
      </c>
      <c r="J16" s="358"/>
      <c r="K16" s="358">
        <f>-'Table 5C1E-LFNO'!V17</f>
        <v>0</v>
      </c>
      <c r="L16" s="358">
        <f>-'Table 5C1F-Lake Charles Charter'!T17</f>
        <v>0</v>
      </c>
      <c r="M16" s="358">
        <f>-'Table 5C1G-JS Clark Academy'!T17</f>
        <v>0</v>
      </c>
      <c r="N16" s="358">
        <f>-'Table 5C1H-Southwest LA Charter'!T17</f>
        <v>0</v>
      </c>
      <c r="O16" s="358">
        <f>-'Table 5C1I-LA Key Academy'!T17</f>
        <v>0</v>
      </c>
      <c r="P16" s="358">
        <f>-'Table 5C1J-Jefferson Chamber'!T17</f>
        <v>0</v>
      </c>
      <c r="Q16" s="358">
        <f>-'Table 5C1K-Tallulah Charter'!T17</f>
        <v>0</v>
      </c>
      <c r="R16" s="358">
        <f>-'Table 5C1L-Northshore Charter'!T17</f>
        <v>0</v>
      </c>
      <c r="S16" s="358">
        <f>-'Table 5C1M-EBR Charter'!T17</f>
        <v>0</v>
      </c>
      <c r="T16" s="358">
        <f>-'Table 5C1N-Delta Charter'!T17</f>
        <v>0</v>
      </c>
      <c r="U16" s="358">
        <f>-'Table 5C2 - LA Virtual Admy'!U14</f>
        <v>-2037</v>
      </c>
      <c r="V16" s="358">
        <f>-'Table 5C3 - LA Connections EBR'!U14</f>
        <v>-547</v>
      </c>
      <c r="W16" s="358">
        <f>-'Table 5E_OJJ'!S17</f>
        <v>0</v>
      </c>
      <c r="X16" s="1524">
        <f t="shared" si="39"/>
        <v>-2584</v>
      </c>
      <c r="Y16" s="736">
        <f t="shared" si="40"/>
        <v>969437</v>
      </c>
      <c r="Z16" s="358"/>
      <c r="AA16" s="358"/>
      <c r="AB16" s="358"/>
      <c r="AC16" s="358">
        <f>'Table 5C1A-Madison Prep'!P17</f>
        <v>0</v>
      </c>
      <c r="AD16" s="358">
        <f>'Table 5C1B-DArbonne'!P17</f>
        <v>0</v>
      </c>
      <c r="AE16" s="358">
        <f>'Table 5C1C-Intl_VIBE'!P17</f>
        <v>0</v>
      </c>
      <c r="AF16" s="358">
        <f>'Table 5C1D-NOMMA'!P17</f>
        <v>0</v>
      </c>
      <c r="AG16" s="358">
        <f>'Table 5C1E-LFNO'!R17</f>
        <v>0</v>
      </c>
      <c r="AH16" s="358">
        <f>'Table 5C1F-Lake Charles Charter'!P17</f>
        <v>0</v>
      </c>
      <c r="AI16" s="358">
        <f>'Table 5C1G-JS Clark Academy'!P17</f>
        <v>0</v>
      </c>
      <c r="AJ16" s="358">
        <f>'Table 5C1H-Southwest LA Charter'!P17</f>
        <v>0</v>
      </c>
      <c r="AK16" s="358">
        <f>'Table 5C1I-LA Key Academy'!P17</f>
        <v>0</v>
      </c>
      <c r="AL16" s="358">
        <f>'Table 5C1J-Jefferson Chamber'!P17</f>
        <v>0</v>
      </c>
      <c r="AM16" s="358">
        <f>'Table 5C1K-Tallulah Charter'!P17</f>
        <v>0</v>
      </c>
      <c r="AN16" s="358">
        <f>'Table 5C1L-Northshore Charter'!P17</f>
        <v>0</v>
      </c>
      <c r="AO16" s="358">
        <f>'Table 5C1M-EBR Charter'!P17</f>
        <v>0</v>
      </c>
      <c r="AP16" s="358">
        <f>'Table 5C1N-Delta Charter'!P17</f>
        <v>0</v>
      </c>
      <c r="AQ16" s="358">
        <f>'Table 5C2 - LA Virtual Admy'!Q14</f>
        <v>-58</v>
      </c>
      <c r="AR16" s="358">
        <f>'Table 5C3 - LA Connections EBR'!Q14</f>
        <v>-16</v>
      </c>
      <c r="AS16" s="736">
        <f t="shared" si="38"/>
        <v>969363</v>
      </c>
      <c r="AT16" s="47"/>
      <c r="AZ16"/>
      <c r="BI16"/>
    </row>
    <row r="17" spans="1:61">
      <c r="A17" s="99">
        <v>12</v>
      </c>
      <c r="B17" s="302" t="s">
        <v>104</v>
      </c>
      <c r="C17" s="311">
        <f>'Table 2_State Distrib and Adjs'!V18</f>
        <v>282519</v>
      </c>
      <c r="D17" s="358"/>
      <c r="E17" s="358"/>
      <c r="F17" s="358">
        <f>-'Table 5C1A-Madison Prep'!T18</f>
        <v>0</v>
      </c>
      <c r="G17" s="358">
        <f>-'Table 5C1B-DArbonne'!T18</f>
        <v>0</v>
      </c>
      <c r="H17" s="358">
        <f>-'Table 5C1C-Intl_VIBE'!T18</f>
        <v>0</v>
      </c>
      <c r="I17" s="358">
        <f>-'Table 5C1D-NOMMA'!T18</f>
        <v>0</v>
      </c>
      <c r="J17" s="358"/>
      <c r="K17" s="358">
        <f>-'Table 5C1E-LFNO'!V18</f>
        <v>0</v>
      </c>
      <c r="L17" s="358">
        <f>-'Table 5C1F-Lake Charles Charter'!T18</f>
        <v>0</v>
      </c>
      <c r="M17" s="358">
        <f>-'Table 5C1G-JS Clark Academy'!T18</f>
        <v>0</v>
      </c>
      <c r="N17" s="358">
        <f>-'Table 5C1H-Southwest LA Charter'!T18</f>
        <v>0</v>
      </c>
      <c r="O17" s="358">
        <f>-'Table 5C1I-LA Key Academy'!T18</f>
        <v>0</v>
      </c>
      <c r="P17" s="358">
        <f>-'Table 5C1J-Jefferson Chamber'!T18</f>
        <v>0</v>
      </c>
      <c r="Q17" s="358">
        <f>-'Table 5C1K-Tallulah Charter'!T18</f>
        <v>0</v>
      </c>
      <c r="R17" s="358">
        <f>-'Table 5C1L-Northshore Charter'!T18</f>
        <v>0</v>
      </c>
      <c r="S17" s="358">
        <f>-'Table 5C1M-EBR Charter'!T18</f>
        <v>0</v>
      </c>
      <c r="T17" s="358">
        <f>-'Table 5C1N-Delta Charter'!T18</f>
        <v>0</v>
      </c>
      <c r="U17" s="358">
        <f>-'Table 5C2 - LA Virtual Admy'!U15</f>
        <v>0</v>
      </c>
      <c r="V17" s="358">
        <f>-'Table 5C3 - LA Connections EBR'!U15</f>
        <v>-1030</v>
      </c>
      <c r="W17" s="358">
        <f>-'Table 5E_OJJ'!S18</f>
        <v>0</v>
      </c>
      <c r="X17" s="1524">
        <f t="shared" si="39"/>
        <v>-1030</v>
      </c>
      <c r="Y17" s="736">
        <f t="shared" si="40"/>
        <v>281489</v>
      </c>
      <c r="Z17" s="358"/>
      <c r="AA17" s="358"/>
      <c r="AB17" s="358"/>
      <c r="AC17" s="358">
        <f>'Table 5C1A-Madison Prep'!P18</f>
        <v>0</v>
      </c>
      <c r="AD17" s="358">
        <f>'Table 5C1B-DArbonne'!P18</f>
        <v>0</v>
      </c>
      <c r="AE17" s="358">
        <f>'Table 5C1C-Intl_VIBE'!P18</f>
        <v>0</v>
      </c>
      <c r="AF17" s="358">
        <f>'Table 5C1D-NOMMA'!P18</f>
        <v>0</v>
      </c>
      <c r="AG17" s="358">
        <f>'Table 5C1E-LFNO'!R18</f>
        <v>0</v>
      </c>
      <c r="AH17" s="358">
        <f>'Table 5C1F-Lake Charles Charter'!P18</f>
        <v>0</v>
      </c>
      <c r="AI17" s="358">
        <f>'Table 5C1G-JS Clark Academy'!P18</f>
        <v>0</v>
      </c>
      <c r="AJ17" s="358">
        <f>'Table 5C1H-Southwest LA Charter'!P18</f>
        <v>0</v>
      </c>
      <c r="AK17" s="358">
        <f>'Table 5C1I-LA Key Academy'!P18</f>
        <v>0</v>
      </c>
      <c r="AL17" s="358">
        <f>'Table 5C1J-Jefferson Chamber'!P18</f>
        <v>0</v>
      </c>
      <c r="AM17" s="358">
        <f>'Table 5C1K-Tallulah Charter'!P18</f>
        <v>0</v>
      </c>
      <c r="AN17" s="358">
        <f>'Table 5C1L-Northshore Charter'!P18</f>
        <v>0</v>
      </c>
      <c r="AO17" s="358">
        <f>'Table 5C1M-EBR Charter'!P18</f>
        <v>0</v>
      </c>
      <c r="AP17" s="358">
        <f>'Table 5C1N-Delta Charter'!P18</f>
        <v>0</v>
      </c>
      <c r="AQ17" s="358">
        <f>'Table 5C2 - LA Virtual Admy'!Q15</f>
        <v>0</v>
      </c>
      <c r="AR17" s="358">
        <f>'Table 5C3 - LA Connections EBR'!Q15</f>
        <v>-31</v>
      </c>
      <c r="AS17" s="736">
        <f t="shared" si="38"/>
        <v>281458</v>
      </c>
      <c r="AT17" s="47"/>
      <c r="AZ17"/>
      <c r="BI17"/>
    </row>
    <row r="18" spans="1:61">
      <c r="A18" s="99">
        <v>13</v>
      </c>
      <c r="B18" s="302" t="s">
        <v>105</v>
      </c>
      <c r="C18" s="311">
        <f>'Table 2_State Distrib and Adjs'!V19</f>
        <v>877302</v>
      </c>
      <c r="D18" s="358"/>
      <c r="E18" s="358"/>
      <c r="F18" s="358">
        <f>-'Table 5C1A-Madison Prep'!T19</f>
        <v>0</v>
      </c>
      <c r="G18" s="358">
        <f>-'Table 5C1B-DArbonne'!T19</f>
        <v>0</v>
      </c>
      <c r="H18" s="358">
        <f>-'Table 5C1C-Intl_VIBE'!T19</f>
        <v>0</v>
      </c>
      <c r="I18" s="358">
        <f>-'Table 5C1D-NOMMA'!T19</f>
        <v>0</v>
      </c>
      <c r="J18" s="358"/>
      <c r="K18" s="358">
        <f>-'Table 5C1E-LFNO'!V19</f>
        <v>0</v>
      </c>
      <c r="L18" s="358">
        <f>-'Table 5C1F-Lake Charles Charter'!T19</f>
        <v>0</v>
      </c>
      <c r="M18" s="358">
        <f>-'Table 5C1G-JS Clark Academy'!T19</f>
        <v>0</v>
      </c>
      <c r="N18" s="358">
        <f>-'Table 5C1H-Southwest LA Charter'!T19</f>
        <v>0</v>
      </c>
      <c r="O18" s="358">
        <f>-'Table 5C1I-LA Key Academy'!T19</f>
        <v>0</v>
      </c>
      <c r="P18" s="358">
        <f>-'Table 5C1J-Jefferson Chamber'!T19</f>
        <v>0</v>
      </c>
      <c r="Q18" s="358">
        <f>-'Table 5C1K-Tallulah Charter'!T19</f>
        <v>0</v>
      </c>
      <c r="R18" s="358">
        <f>-'Table 5C1L-Northshore Charter'!T19</f>
        <v>0</v>
      </c>
      <c r="S18" s="358">
        <f>-'Table 5C1M-EBR Charter'!T19</f>
        <v>0</v>
      </c>
      <c r="T18" s="358">
        <f>-'Table 5C1N-Delta Charter'!T19</f>
        <v>-9025.296875</v>
      </c>
      <c r="U18" s="358">
        <f>-'Table 5C2 - LA Virtual Admy'!U16</f>
        <v>-625</v>
      </c>
      <c r="V18" s="358">
        <f>-'Table 5C3 - LA Connections EBR'!U16</f>
        <v>-567</v>
      </c>
      <c r="W18" s="358">
        <f>-'Table 5E_OJJ'!S19</f>
        <v>0</v>
      </c>
      <c r="X18" s="1524">
        <f t="shared" si="39"/>
        <v>-10217.296875</v>
      </c>
      <c r="Y18" s="736">
        <f t="shared" si="40"/>
        <v>867084.703125</v>
      </c>
      <c r="Z18" s="358"/>
      <c r="AA18" s="358"/>
      <c r="AB18" s="358"/>
      <c r="AC18" s="358">
        <f>'Table 5C1A-Madison Prep'!P19</f>
        <v>0</v>
      </c>
      <c r="AD18" s="358">
        <f>'Table 5C1B-DArbonne'!P19</f>
        <v>0</v>
      </c>
      <c r="AE18" s="358">
        <f>'Table 5C1C-Intl_VIBE'!P19</f>
        <v>0</v>
      </c>
      <c r="AF18" s="358">
        <f>'Table 5C1D-NOMMA'!P19</f>
        <v>0</v>
      </c>
      <c r="AG18" s="358">
        <f>'Table 5C1E-LFNO'!R19</f>
        <v>0</v>
      </c>
      <c r="AH18" s="358">
        <f>'Table 5C1F-Lake Charles Charter'!P19</f>
        <v>0</v>
      </c>
      <c r="AI18" s="358">
        <f>'Table 5C1G-JS Clark Academy'!P19</f>
        <v>0</v>
      </c>
      <c r="AJ18" s="358">
        <f>'Table 5C1H-Southwest LA Charter'!P19</f>
        <v>0</v>
      </c>
      <c r="AK18" s="358">
        <f>'Table 5C1I-LA Key Academy'!P19</f>
        <v>0</v>
      </c>
      <c r="AL18" s="358">
        <f>'Table 5C1J-Jefferson Chamber'!P19</f>
        <v>0</v>
      </c>
      <c r="AM18" s="358">
        <f>'Table 5C1K-Tallulah Charter'!P19</f>
        <v>0</v>
      </c>
      <c r="AN18" s="358">
        <f>'Table 5C1L-Northshore Charter'!P19</f>
        <v>0</v>
      </c>
      <c r="AO18" s="358">
        <f>'Table 5C1M-EBR Charter'!P19</f>
        <v>0</v>
      </c>
      <c r="AP18" s="358">
        <f>'Table 5C1N-Delta Charter'!P19</f>
        <v>-271.4375</v>
      </c>
      <c r="AQ18" s="358">
        <f>'Table 5C2 - LA Virtual Admy'!Q16</f>
        <v>-57</v>
      </c>
      <c r="AR18" s="358">
        <f>'Table 5C3 - LA Connections EBR'!Q16</f>
        <v>-17</v>
      </c>
      <c r="AS18" s="736">
        <f t="shared" si="38"/>
        <v>866739.265625</v>
      </c>
      <c r="AT18" s="47"/>
      <c r="AZ18"/>
      <c r="BI18"/>
    </row>
    <row r="19" spans="1:61">
      <c r="A19" s="99">
        <v>14</v>
      </c>
      <c r="B19" s="302" t="s">
        <v>106</v>
      </c>
      <c r="C19" s="311">
        <f>'Table 2_State Distrib and Adjs'!V20</f>
        <v>956896</v>
      </c>
      <c r="D19" s="358"/>
      <c r="E19" s="358"/>
      <c r="F19" s="358">
        <f>-'Table 5C1A-Madison Prep'!T20</f>
        <v>0</v>
      </c>
      <c r="G19" s="358">
        <f>-'Table 5C1B-DArbonne'!T20</f>
        <v>-663.005</v>
      </c>
      <c r="H19" s="358">
        <f>-'Table 5C1C-Intl_VIBE'!T20</f>
        <v>0</v>
      </c>
      <c r="I19" s="358">
        <f>-'Table 5C1D-NOMMA'!T20</f>
        <v>0</v>
      </c>
      <c r="J19" s="358"/>
      <c r="K19" s="358">
        <f>-'Table 5C1E-LFNO'!V20</f>
        <v>0</v>
      </c>
      <c r="L19" s="358">
        <f>-'Table 5C1F-Lake Charles Charter'!T20</f>
        <v>0</v>
      </c>
      <c r="M19" s="358">
        <f>-'Table 5C1G-JS Clark Academy'!T20</f>
        <v>0</v>
      </c>
      <c r="N19" s="358">
        <f>-'Table 5C1H-Southwest LA Charter'!T20</f>
        <v>0</v>
      </c>
      <c r="O19" s="358">
        <f>-'Table 5C1I-LA Key Academy'!T20</f>
        <v>0</v>
      </c>
      <c r="P19" s="358">
        <f>-'Table 5C1J-Jefferson Chamber'!T20</f>
        <v>0</v>
      </c>
      <c r="Q19" s="358">
        <f>-'Table 5C1K-Tallulah Charter'!T20</f>
        <v>0</v>
      </c>
      <c r="R19" s="358">
        <f>-'Table 5C1L-Northshore Charter'!T20</f>
        <v>0</v>
      </c>
      <c r="S19" s="358">
        <f>-'Table 5C1M-EBR Charter'!T20</f>
        <v>0</v>
      </c>
      <c r="T19" s="358">
        <f>-'Table 5C1N-Delta Charter'!T20</f>
        <v>0</v>
      </c>
      <c r="U19" s="358">
        <f>-'Table 5C2 - LA Virtual Admy'!U17</f>
        <v>-173</v>
      </c>
      <c r="V19" s="358">
        <f>-'Table 5C3 - LA Connections EBR'!U17</f>
        <v>-3282</v>
      </c>
      <c r="W19" s="358">
        <f>-'Table 5E_OJJ'!S20</f>
        <v>-285</v>
      </c>
      <c r="X19" s="1524">
        <f t="shared" si="39"/>
        <v>-4403.0050000000001</v>
      </c>
      <c r="Y19" s="736">
        <f t="shared" si="40"/>
        <v>952492.995</v>
      </c>
      <c r="Z19" s="358"/>
      <c r="AA19" s="358"/>
      <c r="AB19" s="358"/>
      <c r="AC19" s="358">
        <f>'Table 5C1A-Madison Prep'!P20</f>
        <v>0</v>
      </c>
      <c r="AD19" s="358">
        <f>'Table 5C1B-DArbonne'!P20</f>
        <v>-19.940000000000001</v>
      </c>
      <c r="AE19" s="358">
        <f>'Table 5C1C-Intl_VIBE'!P20</f>
        <v>0</v>
      </c>
      <c r="AF19" s="358">
        <f>'Table 5C1D-NOMMA'!P20</f>
        <v>0</v>
      </c>
      <c r="AG19" s="358">
        <f>'Table 5C1E-LFNO'!R20</f>
        <v>0</v>
      </c>
      <c r="AH19" s="358">
        <f>'Table 5C1F-Lake Charles Charter'!P20</f>
        <v>0</v>
      </c>
      <c r="AI19" s="358">
        <f>'Table 5C1G-JS Clark Academy'!P20</f>
        <v>0</v>
      </c>
      <c r="AJ19" s="358">
        <f>'Table 5C1H-Southwest LA Charter'!P20</f>
        <v>0</v>
      </c>
      <c r="AK19" s="358">
        <f>'Table 5C1I-LA Key Academy'!P20</f>
        <v>0</v>
      </c>
      <c r="AL19" s="358">
        <f>'Table 5C1J-Jefferson Chamber'!P20</f>
        <v>0</v>
      </c>
      <c r="AM19" s="358">
        <f>'Table 5C1K-Tallulah Charter'!P20</f>
        <v>0</v>
      </c>
      <c r="AN19" s="358">
        <f>'Table 5C1L-Northshore Charter'!P20</f>
        <v>0</v>
      </c>
      <c r="AO19" s="358">
        <f>'Table 5C1M-EBR Charter'!P20</f>
        <v>0</v>
      </c>
      <c r="AP19" s="358">
        <f>'Table 5C1N-Delta Charter'!P20</f>
        <v>0</v>
      </c>
      <c r="AQ19" s="358">
        <f>'Table 5C2 - LA Virtual Admy'!Q17</f>
        <v>-9</v>
      </c>
      <c r="AR19" s="358">
        <f>'Table 5C3 - LA Connections EBR'!Q17</f>
        <v>-99</v>
      </c>
      <c r="AS19" s="736">
        <f t="shared" si="38"/>
        <v>952365.05500000005</v>
      </c>
      <c r="AT19" s="47"/>
      <c r="AZ19"/>
      <c r="BI19"/>
    </row>
    <row r="20" spans="1:61">
      <c r="A20" s="100">
        <v>15</v>
      </c>
      <c r="B20" s="303" t="s">
        <v>107</v>
      </c>
      <c r="C20" s="319">
        <f>'Table 2_State Distrib and Adjs'!V21</f>
        <v>1834606</v>
      </c>
      <c r="D20" s="359"/>
      <c r="E20" s="359"/>
      <c r="F20" s="359">
        <f>-'Table 5C1A-Madison Prep'!T21</f>
        <v>0</v>
      </c>
      <c r="G20" s="359">
        <f>-'Table 5C1B-DArbonne'!T21</f>
        <v>0</v>
      </c>
      <c r="H20" s="359">
        <f>-'Table 5C1C-Intl_VIBE'!T21</f>
        <v>0</v>
      </c>
      <c r="I20" s="359">
        <f>-'Table 5C1D-NOMMA'!T21</f>
        <v>0</v>
      </c>
      <c r="J20" s="359"/>
      <c r="K20" s="359">
        <f>-'Table 5C1E-LFNO'!V21</f>
        <v>0</v>
      </c>
      <c r="L20" s="359">
        <f>-'Table 5C1F-Lake Charles Charter'!T21</f>
        <v>0</v>
      </c>
      <c r="M20" s="359">
        <f>-'Table 5C1G-JS Clark Academy'!T21</f>
        <v>0</v>
      </c>
      <c r="N20" s="359">
        <f>-'Table 5C1H-Southwest LA Charter'!T21</f>
        <v>0</v>
      </c>
      <c r="O20" s="359">
        <f>-'Table 5C1I-LA Key Academy'!T21</f>
        <v>0</v>
      </c>
      <c r="P20" s="359">
        <f>-'Table 5C1J-Jefferson Chamber'!T21</f>
        <v>0</v>
      </c>
      <c r="Q20" s="359">
        <f>-'Table 5C1K-Tallulah Charter'!T21</f>
        <v>0</v>
      </c>
      <c r="R20" s="359">
        <f>-'Table 5C1L-Northshore Charter'!T21</f>
        <v>0</v>
      </c>
      <c r="S20" s="359">
        <f>-'Table 5C1M-EBR Charter'!T21</f>
        <v>0</v>
      </c>
      <c r="T20" s="359">
        <f>-'Table 5C1N-Delta Charter'!T21</f>
        <v>-60691.890000000007</v>
      </c>
      <c r="U20" s="359">
        <f>-'Table 5C2 - LA Virtual Admy'!U18</f>
        <v>-570</v>
      </c>
      <c r="V20" s="359">
        <f>-'Table 5C3 - LA Connections EBR'!U18</f>
        <v>-571</v>
      </c>
      <c r="W20" s="359">
        <f>-'Table 5E_OJJ'!S21</f>
        <v>-153</v>
      </c>
      <c r="X20" s="359">
        <f t="shared" si="39"/>
        <v>-61985.890000000007</v>
      </c>
      <c r="Y20" s="737">
        <f t="shared" si="40"/>
        <v>1772620.11</v>
      </c>
      <c r="Z20" s="359"/>
      <c r="AA20" s="359"/>
      <c r="AB20" s="359"/>
      <c r="AC20" s="359">
        <f>'Table 5C1A-Madison Prep'!P21</f>
        <v>0</v>
      </c>
      <c r="AD20" s="359">
        <f>'Table 5C1B-DArbonne'!P21</f>
        <v>0</v>
      </c>
      <c r="AE20" s="359">
        <f>'Table 5C1C-Intl_VIBE'!P21</f>
        <v>0</v>
      </c>
      <c r="AF20" s="359">
        <f>'Table 5C1D-NOMMA'!P21</f>
        <v>0</v>
      </c>
      <c r="AG20" s="359">
        <f>'Table 5C1E-LFNO'!R21</f>
        <v>0</v>
      </c>
      <c r="AH20" s="359">
        <f>'Table 5C1F-Lake Charles Charter'!P21</f>
        <v>0</v>
      </c>
      <c r="AI20" s="359">
        <f>'Table 5C1G-JS Clark Academy'!P21</f>
        <v>0</v>
      </c>
      <c r="AJ20" s="359">
        <f>'Table 5C1H-Southwest LA Charter'!P21</f>
        <v>0</v>
      </c>
      <c r="AK20" s="359">
        <f>'Table 5C1I-LA Key Academy'!P21</f>
        <v>0</v>
      </c>
      <c r="AL20" s="359">
        <f>'Table 5C1J-Jefferson Chamber'!P21</f>
        <v>0</v>
      </c>
      <c r="AM20" s="359">
        <f>'Table 5C1K-Tallulah Charter'!P21</f>
        <v>0</v>
      </c>
      <c r="AN20" s="359">
        <f>'Table 5C1L-Northshore Charter'!P21</f>
        <v>0</v>
      </c>
      <c r="AO20" s="359">
        <f>'Table 5C1M-EBR Charter'!P21</f>
        <v>0</v>
      </c>
      <c r="AP20" s="359">
        <f>'Table 5C1N-Delta Charter'!P21</f>
        <v>-1825.32</v>
      </c>
      <c r="AQ20" s="359">
        <f>'Table 5C2 - LA Virtual Admy'!Q18</f>
        <v>-23</v>
      </c>
      <c r="AR20" s="359">
        <f>'Table 5C3 - LA Connections EBR'!Q18</f>
        <v>-17</v>
      </c>
      <c r="AS20" s="737">
        <f t="shared" si="38"/>
        <v>1770754.79</v>
      </c>
      <c r="AT20" s="47"/>
      <c r="AZ20"/>
      <c r="BI20"/>
    </row>
    <row r="21" spans="1:61">
      <c r="A21" s="99">
        <v>16</v>
      </c>
      <c r="B21" s="302" t="s">
        <v>108</v>
      </c>
      <c r="C21" s="311">
        <f>'Table 2_State Distrib and Adjs'!V22</f>
        <v>912426</v>
      </c>
      <c r="D21" s="358"/>
      <c r="E21" s="358"/>
      <c r="F21" s="358">
        <f>-'Table 5C1A-Madison Prep'!T22</f>
        <v>0</v>
      </c>
      <c r="G21" s="358">
        <f>-'Table 5C1B-DArbonne'!T22</f>
        <v>0</v>
      </c>
      <c r="H21" s="358">
        <f>-'Table 5C1C-Intl_VIBE'!T22</f>
        <v>0</v>
      </c>
      <c r="I21" s="358">
        <f>-'Table 5C1D-NOMMA'!T22</f>
        <v>0</v>
      </c>
      <c r="J21" s="358"/>
      <c r="K21" s="358">
        <f>-'Table 5C1E-LFNO'!V22</f>
        <v>0</v>
      </c>
      <c r="L21" s="358">
        <f>-'Table 5C1F-Lake Charles Charter'!T22</f>
        <v>0</v>
      </c>
      <c r="M21" s="358">
        <f>-'Table 5C1G-JS Clark Academy'!T22</f>
        <v>0</v>
      </c>
      <c r="N21" s="358">
        <f>-'Table 5C1H-Southwest LA Charter'!T22</f>
        <v>0</v>
      </c>
      <c r="O21" s="358">
        <f>-'Table 5C1I-LA Key Academy'!T22</f>
        <v>0</v>
      </c>
      <c r="P21" s="358">
        <f>-'Table 5C1J-Jefferson Chamber'!T22</f>
        <v>0</v>
      </c>
      <c r="Q21" s="358">
        <f>-'Table 5C1K-Tallulah Charter'!T22</f>
        <v>0</v>
      </c>
      <c r="R21" s="358">
        <f>-'Table 5C1L-Northshore Charter'!T22</f>
        <v>0</v>
      </c>
      <c r="S21" s="358">
        <f>-'Table 5C1M-EBR Charter'!T22</f>
        <v>0</v>
      </c>
      <c r="T21" s="358">
        <f>-'Table 5C1N-Delta Charter'!T22</f>
        <v>0</v>
      </c>
      <c r="U21" s="358">
        <f>-'Table 5C2 - LA Virtual Admy'!U19</f>
        <v>-9984</v>
      </c>
      <c r="V21" s="358">
        <f>-'Table 5C3 - LA Connections EBR'!U19</f>
        <v>-5446</v>
      </c>
      <c r="W21" s="358">
        <f>-'Table 5E_OJJ'!S22</f>
        <v>-657</v>
      </c>
      <c r="X21" s="1524">
        <f t="shared" si="39"/>
        <v>-16087</v>
      </c>
      <c r="Y21" s="736">
        <f t="shared" si="40"/>
        <v>896339</v>
      </c>
      <c r="Z21" s="358"/>
      <c r="AA21" s="358"/>
      <c r="AB21" s="358"/>
      <c r="AC21" s="358">
        <f>'Table 5C1A-Madison Prep'!P22</f>
        <v>0</v>
      </c>
      <c r="AD21" s="358">
        <f>'Table 5C1B-DArbonne'!P22</f>
        <v>0</v>
      </c>
      <c r="AE21" s="358">
        <f>'Table 5C1C-Intl_VIBE'!P22</f>
        <v>0</v>
      </c>
      <c r="AF21" s="358">
        <f>'Table 5C1D-NOMMA'!P22</f>
        <v>0</v>
      </c>
      <c r="AG21" s="358">
        <f>'Table 5C1E-LFNO'!R22</f>
        <v>0</v>
      </c>
      <c r="AH21" s="358">
        <f>'Table 5C1F-Lake Charles Charter'!P22</f>
        <v>0</v>
      </c>
      <c r="AI21" s="358">
        <f>'Table 5C1G-JS Clark Academy'!P22</f>
        <v>0</v>
      </c>
      <c r="AJ21" s="358">
        <f>'Table 5C1H-Southwest LA Charter'!P22</f>
        <v>0</v>
      </c>
      <c r="AK21" s="358">
        <f>'Table 5C1I-LA Key Academy'!P22</f>
        <v>0</v>
      </c>
      <c r="AL21" s="358">
        <f>'Table 5C1J-Jefferson Chamber'!P22</f>
        <v>0</v>
      </c>
      <c r="AM21" s="358">
        <f>'Table 5C1K-Tallulah Charter'!P22</f>
        <v>0</v>
      </c>
      <c r="AN21" s="358">
        <f>'Table 5C1L-Northshore Charter'!P22</f>
        <v>0</v>
      </c>
      <c r="AO21" s="358">
        <f>'Table 5C1M-EBR Charter'!P22</f>
        <v>0</v>
      </c>
      <c r="AP21" s="358">
        <f>'Table 5C1N-Delta Charter'!P22</f>
        <v>0</v>
      </c>
      <c r="AQ21" s="358">
        <f>'Table 5C2 - LA Virtual Admy'!Q19</f>
        <v>-300</v>
      </c>
      <c r="AR21" s="358">
        <f>'Table 5C3 - LA Connections EBR'!Q19</f>
        <v>-164</v>
      </c>
      <c r="AS21" s="736">
        <f t="shared" si="38"/>
        <v>895875</v>
      </c>
      <c r="AT21" s="47"/>
      <c r="AZ21"/>
      <c r="BI21"/>
    </row>
    <row r="22" spans="1:61">
      <c r="A22" s="99">
        <v>17</v>
      </c>
      <c r="B22" s="302" t="s">
        <v>109</v>
      </c>
      <c r="C22" s="311">
        <f>'Table 2_State Distrib and Adjs'!V23</f>
        <v>13840722</v>
      </c>
      <c r="D22" s="358">
        <f>-'Table 5B2_RSD_LA'!X18</f>
        <v>-1086608.2833333332</v>
      </c>
      <c r="E22" s="358"/>
      <c r="F22" s="358">
        <f>-'Table 5C1A-Madison Prep'!T23</f>
        <v>-115825.045</v>
      </c>
      <c r="G22" s="358">
        <f>-'Table 5C1B-DArbonne'!T23</f>
        <v>0</v>
      </c>
      <c r="H22" s="358">
        <f>-'Table 5C1C-Intl_VIBE'!T23</f>
        <v>0</v>
      </c>
      <c r="I22" s="358">
        <f>-'Table 5C1D-NOMMA'!T23</f>
        <v>0</v>
      </c>
      <c r="J22" s="358"/>
      <c r="K22" s="358">
        <f>-'Table 5C1E-LFNO'!V23</f>
        <v>0</v>
      </c>
      <c r="L22" s="358">
        <f>-'Table 5C1F-Lake Charles Charter'!T23</f>
        <v>0</v>
      </c>
      <c r="M22" s="358">
        <f>-'Table 5C1G-JS Clark Academy'!T23</f>
        <v>0</v>
      </c>
      <c r="N22" s="358">
        <f>-'Table 5C1H-Southwest LA Charter'!T23</f>
        <v>0</v>
      </c>
      <c r="O22" s="358">
        <f>-'Table 5C1I-LA Key Academy'!T23</f>
        <v>-61848.325000000004</v>
      </c>
      <c r="P22" s="358">
        <f>-'Table 5C1J-Jefferson Chamber'!T23</f>
        <v>0</v>
      </c>
      <c r="Q22" s="358">
        <f>-'Table 5C1K-Tallulah Charter'!T23</f>
        <v>0</v>
      </c>
      <c r="R22" s="358">
        <f>-'Table 5C1L-Northshore Charter'!T23</f>
        <v>0</v>
      </c>
      <c r="S22" s="358">
        <f>-'Table 5C1M-EBR Charter'!T23</f>
        <v>-341852.56</v>
      </c>
      <c r="T22" s="358">
        <f>-'Table 5C1N-Delta Charter'!T23</f>
        <v>0</v>
      </c>
      <c r="U22" s="358">
        <f>-'Table 5C2 - LA Virtual Admy'!U20</f>
        <v>-36556</v>
      </c>
      <c r="V22" s="358">
        <f>-'Table 5C3 - LA Connections EBR'!U20</f>
        <v>-37963</v>
      </c>
      <c r="W22" s="358">
        <f>-'Table 5E_OJJ'!S23</f>
        <v>-12207</v>
      </c>
      <c r="X22" s="1524">
        <f t="shared" si="39"/>
        <v>-1692860.2133333331</v>
      </c>
      <c r="Y22" s="736">
        <f t="shared" si="40"/>
        <v>12147861.786666667</v>
      </c>
      <c r="Z22" s="358">
        <f>'Table 5B2_RSD_LA'!R18</f>
        <v>-51228.275000000001</v>
      </c>
      <c r="AA22" s="358">
        <f>'Table 5B2_RSD_LA'!S18</f>
        <v>-7318.3249999999998</v>
      </c>
      <c r="AB22" s="358"/>
      <c r="AC22" s="358">
        <f>'Table 5C1A-Madison Prep'!P23</f>
        <v>-3483.46</v>
      </c>
      <c r="AD22" s="358">
        <f>'Table 5C1B-DArbonne'!P23</f>
        <v>0</v>
      </c>
      <c r="AE22" s="358">
        <f>'Table 5C1C-Intl_VIBE'!P23</f>
        <v>0</v>
      </c>
      <c r="AF22" s="358">
        <f>'Table 5C1D-NOMMA'!P23</f>
        <v>0</v>
      </c>
      <c r="AG22" s="358">
        <f>'Table 5C1E-LFNO'!R23</f>
        <v>0</v>
      </c>
      <c r="AH22" s="358">
        <f>'Table 5C1F-Lake Charles Charter'!P23</f>
        <v>0</v>
      </c>
      <c r="AI22" s="358">
        <f>'Table 5C1G-JS Clark Academy'!P23</f>
        <v>0</v>
      </c>
      <c r="AJ22" s="358">
        <f>'Table 5C1H-Southwest LA Charter'!P23</f>
        <v>0</v>
      </c>
      <c r="AK22" s="358">
        <f>'Table 5C1I-LA Key Academy'!P23</f>
        <v>-1860.1000000000001</v>
      </c>
      <c r="AL22" s="358">
        <f>'Table 5C1J-Jefferson Chamber'!P23</f>
        <v>0</v>
      </c>
      <c r="AM22" s="358">
        <f>'Table 5C1K-Tallulah Charter'!P23</f>
        <v>0</v>
      </c>
      <c r="AN22" s="358">
        <f>'Table 5C1L-Northshore Charter'!P23</f>
        <v>0</v>
      </c>
      <c r="AO22" s="358">
        <f>'Table 5C1M-EBR Charter'!P23</f>
        <v>-10281.280000000001</v>
      </c>
      <c r="AP22" s="358">
        <f>'Table 5C1N-Delta Charter'!P23</f>
        <v>0</v>
      </c>
      <c r="AQ22" s="358">
        <f>'Table 5C2 - LA Virtual Admy'!Q20</f>
        <v>-1050</v>
      </c>
      <c r="AR22" s="358">
        <f>'Table 5C3 - LA Connections EBR'!Q20</f>
        <v>-1157</v>
      </c>
      <c r="AS22" s="736">
        <f t="shared" si="38"/>
        <v>12071483.346666668</v>
      </c>
      <c r="AT22" s="47"/>
      <c r="AZ22"/>
      <c r="BI22"/>
    </row>
    <row r="23" spans="1:61">
      <c r="A23" s="99">
        <v>18</v>
      </c>
      <c r="B23" s="302" t="s">
        <v>110</v>
      </c>
      <c r="C23" s="311">
        <f>'Table 2_State Distrib and Adjs'!V24</f>
        <v>635468</v>
      </c>
      <c r="D23" s="358"/>
      <c r="E23" s="358"/>
      <c r="F23" s="358">
        <f>-'Table 5C1A-Madison Prep'!T24</f>
        <v>0</v>
      </c>
      <c r="G23" s="358">
        <f>-'Table 5C1B-DArbonne'!T24</f>
        <v>0</v>
      </c>
      <c r="H23" s="358">
        <f>-'Table 5C1C-Intl_VIBE'!T24</f>
        <v>0</v>
      </c>
      <c r="I23" s="358">
        <f>-'Table 5C1D-NOMMA'!T24</f>
        <v>0</v>
      </c>
      <c r="J23" s="358"/>
      <c r="K23" s="358">
        <f>-'Table 5C1E-LFNO'!V24</f>
        <v>0</v>
      </c>
      <c r="L23" s="358">
        <f>-'Table 5C1F-Lake Charles Charter'!T24</f>
        <v>0</v>
      </c>
      <c r="M23" s="358">
        <f>-'Table 5C1G-JS Clark Academy'!T24</f>
        <v>0</v>
      </c>
      <c r="N23" s="358">
        <f>-'Table 5C1H-Southwest LA Charter'!T24</f>
        <v>0</v>
      </c>
      <c r="O23" s="358">
        <f>-'Table 5C1I-LA Key Academy'!T24</f>
        <v>0</v>
      </c>
      <c r="P23" s="358">
        <f>-'Table 5C1J-Jefferson Chamber'!T24</f>
        <v>0</v>
      </c>
      <c r="Q23" s="358">
        <f>-'Table 5C1K-Tallulah Charter'!T24</f>
        <v>0</v>
      </c>
      <c r="R23" s="358">
        <f>-'Table 5C1L-Northshore Charter'!T24</f>
        <v>0</v>
      </c>
      <c r="S23" s="358">
        <f>-'Table 5C1M-EBR Charter'!T24</f>
        <v>0</v>
      </c>
      <c r="T23" s="358">
        <f>-'Table 5C1N-Delta Charter'!T24</f>
        <v>0</v>
      </c>
      <c r="U23" s="358">
        <f>-'Table 5C2 - LA Virtual Admy'!U21</f>
        <v>-219</v>
      </c>
      <c r="V23" s="358">
        <f>-'Table 5C3 - LA Connections EBR'!U21</f>
        <v>0</v>
      </c>
      <c r="W23" s="358">
        <f>-'Table 5E_OJJ'!S24</f>
        <v>-9</v>
      </c>
      <c r="X23" s="1524">
        <f t="shared" si="39"/>
        <v>-228</v>
      </c>
      <c r="Y23" s="736">
        <f t="shared" si="40"/>
        <v>635240</v>
      </c>
      <c r="Z23" s="358"/>
      <c r="AA23" s="358"/>
      <c r="AB23" s="358"/>
      <c r="AC23" s="358">
        <f>'Table 5C1A-Madison Prep'!P24</f>
        <v>0</v>
      </c>
      <c r="AD23" s="358">
        <f>'Table 5C1B-DArbonne'!P24</f>
        <v>0</v>
      </c>
      <c r="AE23" s="358">
        <f>'Table 5C1C-Intl_VIBE'!P24</f>
        <v>0</v>
      </c>
      <c r="AF23" s="358">
        <f>'Table 5C1D-NOMMA'!P24</f>
        <v>0</v>
      </c>
      <c r="AG23" s="358">
        <f>'Table 5C1E-LFNO'!R24</f>
        <v>0</v>
      </c>
      <c r="AH23" s="358">
        <f>'Table 5C1F-Lake Charles Charter'!P24</f>
        <v>0</v>
      </c>
      <c r="AI23" s="358">
        <f>'Table 5C1G-JS Clark Academy'!P24</f>
        <v>0</v>
      </c>
      <c r="AJ23" s="358">
        <f>'Table 5C1H-Southwest LA Charter'!P24</f>
        <v>0</v>
      </c>
      <c r="AK23" s="358">
        <f>'Table 5C1I-LA Key Academy'!P24</f>
        <v>0</v>
      </c>
      <c r="AL23" s="358">
        <f>'Table 5C1J-Jefferson Chamber'!P24</f>
        <v>0</v>
      </c>
      <c r="AM23" s="358">
        <f>'Table 5C1K-Tallulah Charter'!P24</f>
        <v>0</v>
      </c>
      <c r="AN23" s="358">
        <f>'Table 5C1L-Northshore Charter'!P24</f>
        <v>0</v>
      </c>
      <c r="AO23" s="358">
        <f>'Table 5C1M-EBR Charter'!P24</f>
        <v>0</v>
      </c>
      <c r="AP23" s="358">
        <f>'Table 5C1N-Delta Charter'!P24</f>
        <v>0</v>
      </c>
      <c r="AQ23" s="358">
        <f>'Table 5C2 - LA Virtual Admy'!Q21</f>
        <v>-7</v>
      </c>
      <c r="AR23" s="358">
        <f>'Table 5C3 - LA Connections EBR'!Q21</f>
        <v>0</v>
      </c>
      <c r="AS23" s="736">
        <f t="shared" si="38"/>
        <v>635233</v>
      </c>
      <c r="AT23" s="47"/>
      <c r="AZ23"/>
      <c r="BI23"/>
    </row>
    <row r="24" spans="1:61">
      <c r="A24" s="99">
        <v>19</v>
      </c>
      <c r="B24" s="302" t="s">
        <v>111</v>
      </c>
      <c r="C24" s="311">
        <f>'Table 2_State Distrib and Adjs'!V25</f>
        <v>987703</v>
      </c>
      <c r="D24" s="358"/>
      <c r="E24" s="358"/>
      <c r="F24" s="358">
        <f>-'Table 5C1A-Madison Prep'!T25</f>
        <v>0</v>
      </c>
      <c r="G24" s="358">
        <f>-'Table 5C1B-DArbonne'!T25</f>
        <v>0</v>
      </c>
      <c r="H24" s="358">
        <f>-'Table 5C1C-Intl_VIBE'!T25</f>
        <v>0</v>
      </c>
      <c r="I24" s="358">
        <f>-'Table 5C1D-NOMMA'!T25</f>
        <v>0</v>
      </c>
      <c r="J24" s="358"/>
      <c r="K24" s="358">
        <f>-'Table 5C1E-LFNO'!V25</f>
        <v>0</v>
      </c>
      <c r="L24" s="358">
        <f>-'Table 5C1F-Lake Charles Charter'!T25</f>
        <v>0</v>
      </c>
      <c r="M24" s="358">
        <f>-'Table 5C1G-JS Clark Academy'!T25</f>
        <v>0</v>
      </c>
      <c r="N24" s="358">
        <f>-'Table 5C1H-Southwest LA Charter'!T25</f>
        <v>0</v>
      </c>
      <c r="O24" s="358">
        <f>-'Table 5C1I-LA Key Academy'!T25</f>
        <v>0</v>
      </c>
      <c r="P24" s="358">
        <f>-'Table 5C1J-Jefferson Chamber'!T25</f>
        <v>0</v>
      </c>
      <c r="Q24" s="358">
        <f>-'Table 5C1K-Tallulah Charter'!T25</f>
        <v>0</v>
      </c>
      <c r="R24" s="358">
        <f>-'Table 5C1L-Northshore Charter'!T25</f>
        <v>0</v>
      </c>
      <c r="S24" s="358">
        <f>-'Table 5C1M-EBR Charter'!T25</f>
        <v>0</v>
      </c>
      <c r="T24" s="358">
        <f>-'Table 5C1N-Delta Charter'!T25</f>
        <v>0</v>
      </c>
      <c r="U24" s="358">
        <f>-'Table 5C2 - LA Virtual Admy'!U22</f>
        <v>-1046</v>
      </c>
      <c r="V24" s="358">
        <f>-'Table 5C3 - LA Connections EBR'!U22</f>
        <v>-1154</v>
      </c>
      <c r="W24" s="358">
        <f>-'Table 5E_OJJ'!S25</f>
        <v>-138</v>
      </c>
      <c r="X24" s="1524">
        <f t="shared" si="39"/>
        <v>-2338</v>
      </c>
      <c r="Y24" s="736">
        <f t="shared" si="40"/>
        <v>985365</v>
      </c>
      <c r="Z24" s="358"/>
      <c r="AA24" s="358"/>
      <c r="AB24" s="358"/>
      <c r="AC24" s="358">
        <f>'Table 5C1A-Madison Prep'!P25</f>
        <v>0</v>
      </c>
      <c r="AD24" s="358">
        <f>'Table 5C1B-DArbonne'!P25</f>
        <v>0</v>
      </c>
      <c r="AE24" s="358">
        <f>'Table 5C1C-Intl_VIBE'!P25</f>
        <v>0</v>
      </c>
      <c r="AF24" s="358">
        <f>'Table 5C1D-NOMMA'!P25</f>
        <v>0</v>
      </c>
      <c r="AG24" s="358">
        <f>'Table 5C1E-LFNO'!R25</f>
        <v>0</v>
      </c>
      <c r="AH24" s="358">
        <f>'Table 5C1F-Lake Charles Charter'!P25</f>
        <v>0</v>
      </c>
      <c r="AI24" s="358">
        <f>'Table 5C1G-JS Clark Academy'!P25</f>
        <v>0</v>
      </c>
      <c r="AJ24" s="358">
        <f>'Table 5C1H-Southwest LA Charter'!P25</f>
        <v>0</v>
      </c>
      <c r="AK24" s="358">
        <f>'Table 5C1I-LA Key Academy'!P25</f>
        <v>0</v>
      </c>
      <c r="AL24" s="358">
        <f>'Table 5C1J-Jefferson Chamber'!P25</f>
        <v>0</v>
      </c>
      <c r="AM24" s="358">
        <f>'Table 5C1K-Tallulah Charter'!P25</f>
        <v>0</v>
      </c>
      <c r="AN24" s="358">
        <f>'Table 5C1L-Northshore Charter'!P25</f>
        <v>0</v>
      </c>
      <c r="AO24" s="358">
        <f>'Table 5C1M-EBR Charter'!P25</f>
        <v>0</v>
      </c>
      <c r="AP24" s="358">
        <f>'Table 5C1N-Delta Charter'!P25</f>
        <v>0</v>
      </c>
      <c r="AQ24" s="358">
        <f>'Table 5C2 - LA Virtual Admy'!Q22</f>
        <v>-29</v>
      </c>
      <c r="AR24" s="358">
        <f>'Table 5C3 - LA Connections EBR'!Q22</f>
        <v>-35</v>
      </c>
      <c r="AS24" s="736">
        <f t="shared" si="38"/>
        <v>985301</v>
      </c>
      <c r="AT24" s="47"/>
      <c r="AZ24"/>
      <c r="BI24"/>
    </row>
    <row r="25" spans="1:61">
      <c r="A25" s="100">
        <v>20</v>
      </c>
      <c r="B25" s="303" t="s">
        <v>112</v>
      </c>
      <c r="C25" s="319">
        <f>'Table 2_State Distrib and Adjs'!V26</f>
        <v>2944625</v>
      </c>
      <c r="D25" s="359"/>
      <c r="E25" s="359"/>
      <c r="F25" s="359">
        <f>-'Table 5C1A-Madison Prep'!T26</f>
        <v>0</v>
      </c>
      <c r="G25" s="359">
        <f>-'Table 5C1B-DArbonne'!T26</f>
        <v>0</v>
      </c>
      <c r="H25" s="359">
        <f>-'Table 5C1C-Intl_VIBE'!T26</f>
        <v>0</v>
      </c>
      <c r="I25" s="359">
        <f>-'Table 5C1D-NOMMA'!T26</f>
        <v>0</v>
      </c>
      <c r="J25" s="359"/>
      <c r="K25" s="359">
        <f>-'Table 5C1E-LFNO'!V26</f>
        <v>0</v>
      </c>
      <c r="L25" s="359">
        <f>-'Table 5C1F-Lake Charles Charter'!T26</f>
        <v>0</v>
      </c>
      <c r="M25" s="359">
        <f>-'Table 5C1G-JS Clark Academy'!T26</f>
        <v>0</v>
      </c>
      <c r="N25" s="359">
        <f>-'Table 5C1H-Southwest LA Charter'!T26</f>
        <v>0</v>
      </c>
      <c r="O25" s="359">
        <f>-'Table 5C1I-LA Key Academy'!T26</f>
        <v>0</v>
      </c>
      <c r="P25" s="359">
        <f>-'Table 5C1J-Jefferson Chamber'!T26</f>
        <v>0</v>
      </c>
      <c r="Q25" s="359">
        <f>-'Table 5C1K-Tallulah Charter'!T26</f>
        <v>0</v>
      </c>
      <c r="R25" s="359">
        <f>-'Table 5C1L-Northshore Charter'!T26</f>
        <v>0</v>
      </c>
      <c r="S25" s="359">
        <f>-'Table 5C1M-EBR Charter'!T26</f>
        <v>0</v>
      </c>
      <c r="T25" s="359">
        <f>-'Table 5C1N-Delta Charter'!T26</f>
        <v>0</v>
      </c>
      <c r="U25" s="359">
        <f>-'Table 5C2 - LA Virtual Admy'!U23</f>
        <v>-1167</v>
      </c>
      <c r="V25" s="359">
        <f>-'Table 5C3 - LA Connections EBR'!U23</f>
        <v>-724</v>
      </c>
      <c r="W25" s="359">
        <f>-'Table 5E_OJJ'!S26</f>
        <v>-1522</v>
      </c>
      <c r="X25" s="359">
        <f t="shared" si="39"/>
        <v>-3413</v>
      </c>
      <c r="Y25" s="737">
        <f t="shared" si="40"/>
        <v>2941212</v>
      </c>
      <c r="Z25" s="359"/>
      <c r="AA25" s="359"/>
      <c r="AB25" s="359"/>
      <c r="AC25" s="359">
        <f>'Table 5C1A-Madison Prep'!P26</f>
        <v>0</v>
      </c>
      <c r="AD25" s="359">
        <f>'Table 5C1B-DArbonne'!P26</f>
        <v>0</v>
      </c>
      <c r="AE25" s="359">
        <f>'Table 5C1C-Intl_VIBE'!P26</f>
        <v>0</v>
      </c>
      <c r="AF25" s="359">
        <f>'Table 5C1D-NOMMA'!P26</f>
        <v>0</v>
      </c>
      <c r="AG25" s="359">
        <f>'Table 5C1E-LFNO'!R26</f>
        <v>0</v>
      </c>
      <c r="AH25" s="359">
        <f>'Table 5C1F-Lake Charles Charter'!P26</f>
        <v>0</v>
      </c>
      <c r="AI25" s="359">
        <f>'Table 5C1G-JS Clark Academy'!P26</f>
        <v>0</v>
      </c>
      <c r="AJ25" s="359">
        <f>'Table 5C1H-Southwest LA Charter'!P26</f>
        <v>0</v>
      </c>
      <c r="AK25" s="359">
        <f>'Table 5C1I-LA Key Academy'!P26</f>
        <v>0</v>
      </c>
      <c r="AL25" s="359">
        <f>'Table 5C1J-Jefferson Chamber'!P26</f>
        <v>0</v>
      </c>
      <c r="AM25" s="359">
        <f>'Table 5C1K-Tallulah Charter'!P26</f>
        <v>0</v>
      </c>
      <c r="AN25" s="359">
        <f>'Table 5C1L-Northshore Charter'!P26</f>
        <v>0</v>
      </c>
      <c r="AO25" s="359">
        <f>'Table 5C1M-EBR Charter'!P26</f>
        <v>0</v>
      </c>
      <c r="AP25" s="359">
        <f>'Table 5C1N-Delta Charter'!P26</f>
        <v>0</v>
      </c>
      <c r="AQ25" s="359">
        <f>'Table 5C2 - LA Virtual Admy'!Q23</f>
        <v>-33</v>
      </c>
      <c r="AR25" s="359">
        <f>'Table 5C3 - LA Connections EBR'!Q23</f>
        <v>-22</v>
      </c>
      <c r="AS25" s="737">
        <f t="shared" si="38"/>
        <v>2941157</v>
      </c>
      <c r="AT25" s="47"/>
      <c r="AZ25"/>
      <c r="BI25"/>
    </row>
    <row r="26" spans="1:61">
      <c r="A26" s="99">
        <v>21</v>
      </c>
      <c r="B26" s="302" t="s">
        <v>113</v>
      </c>
      <c r="C26" s="311">
        <f>'Table 2_State Distrib and Adjs'!V27</f>
        <v>1559439</v>
      </c>
      <c r="D26" s="358"/>
      <c r="E26" s="358"/>
      <c r="F26" s="358">
        <f>-'Table 5C1A-Madison Prep'!T27</f>
        <v>0</v>
      </c>
      <c r="G26" s="358">
        <f>-'Table 5C1B-DArbonne'!T27</f>
        <v>0</v>
      </c>
      <c r="H26" s="358">
        <f>-'Table 5C1C-Intl_VIBE'!T27</f>
        <v>0</v>
      </c>
      <c r="I26" s="358">
        <f>-'Table 5C1D-NOMMA'!T27</f>
        <v>0</v>
      </c>
      <c r="J26" s="358"/>
      <c r="K26" s="358">
        <f>-'Table 5C1E-LFNO'!V27</f>
        <v>0</v>
      </c>
      <c r="L26" s="358">
        <f>-'Table 5C1F-Lake Charles Charter'!T27</f>
        <v>0</v>
      </c>
      <c r="M26" s="358">
        <f>-'Table 5C1G-JS Clark Academy'!T27</f>
        <v>0</v>
      </c>
      <c r="N26" s="358">
        <f>-'Table 5C1H-Southwest LA Charter'!T27</f>
        <v>0</v>
      </c>
      <c r="O26" s="358">
        <f>-'Table 5C1I-LA Key Academy'!T27</f>
        <v>0</v>
      </c>
      <c r="P26" s="358">
        <f>-'Table 5C1J-Jefferson Chamber'!T27</f>
        <v>0</v>
      </c>
      <c r="Q26" s="358">
        <f>-'Table 5C1K-Tallulah Charter'!T27</f>
        <v>0</v>
      </c>
      <c r="R26" s="358">
        <f>-'Table 5C1L-Northshore Charter'!T27</f>
        <v>0</v>
      </c>
      <c r="S26" s="358">
        <f>-'Table 5C1M-EBR Charter'!T27</f>
        <v>0</v>
      </c>
      <c r="T26" s="358">
        <f>-'Table 5C1N-Delta Charter'!T27</f>
        <v>0</v>
      </c>
      <c r="U26" s="358">
        <f>-'Table 5C2 - LA Virtual Admy'!U24</f>
        <v>-741</v>
      </c>
      <c r="V26" s="358">
        <f>-'Table 5C3 - LA Connections EBR'!U24</f>
        <v>-1695</v>
      </c>
      <c r="W26" s="358">
        <f>-'Table 5E_OJJ'!S27</f>
        <v>-515</v>
      </c>
      <c r="X26" s="1524">
        <f t="shared" si="39"/>
        <v>-2951</v>
      </c>
      <c r="Y26" s="736">
        <f t="shared" si="40"/>
        <v>1556488</v>
      </c>
      <c r="Z26" s="358"/>
      <c r="AA26" s="358"/>
      <c r="AB26" s="358"/>
      <c r="AC26" s="358">
        <f>'Table 5C1A-Madison Prep'!P27</f>
        <v>0</v>
      </c>
      <c r="AD26" s="358">
        <f>'Table 5C1B-DArbonne'!P27</f>
        <v>0</v>
      </c>
      <c r="AE26" s="358">
        <f>'Table 5C1C-Intl_VIBE'!P27</f>
        <v>0</v>
      </c>
      <c r="AF26" s="358">
        <f>'Table 5C1D-NOMMA'!P27</f>
        <v>0</v>
      </c>
      <c r="AG26" s="358">
        <f>'Table 5C1E-LFNO'!R27</f>
        <v>0</v>
      </c>
      <c r="AH26" s="358">
        <f>'Table 5C1F-Lake Charles Charter'!P27</f>
        <v>0</v>
      </c>
      <c r="AI26" s="358">
        <f>'Table 5C1G-JS Clark Academy'!P27</f>
        <v>0</v>
      </c>
      <c r="AJ26" s="358">
        <f>'Table 5C1H-Southwest LA Charter'!P27</f>
        <v>0</v>
      </c>
      <c r="AK26" s="358">
        <f>'Table 5C1I-LA Key Academy'!P27</f>
        <v>0</v>
      </c>
      <c r="AL26" s="358">
        <f>'Table 5C1J-Jefferson Chamber'!P27</f>
        <v>0</v>
      </c>
      <c r="AM26" s="358">
        <f>'Table 5C1K-Tallulah Charter'!P27</f>
        <v>0</v>
      </c>
      <c r="AN26" s="358">
        <f>'Table 5C1L-Northshore Charter'!P27</f>
        <v>0</v>
      </c>
      <c r="AO26" s="358">
        <f>'Table 5C1M-EBR Charter'!P27</f>
        <v>0</v>
      </c>
      <c r="AP26" s="358">
        <f>'Table 5C1N-Delta Charter'!P27</f>
        <v>0</v>
      </c>
      <c r="AQ26" s="358">
        <f>'Table 5C2 - LA Virtual Admy'!Q24</f>
        <v>-15</v>
      </c>
      <c r="AR26" s="358">
        <f>'Table 5C3 - LA Connections EBR'!Q24</f>
        <v>-51</v>
      </c>
      <c r="AS26" s="736">
        <f t="shared" si="38"/>
        <v>1556422</v>
      </c>
      <c r="AT26" s="47"/>
      <c r="AZ26"/>
      <c r="BI26"/>
    </row>
    <row r="27" spans="1:61">
      <c r="A27" s="99">
        <v>22</v>
      </c>
      <c r="B27" s="302" t="s">
        <v>114</v>
      </c>
      <c r="C27" s="311">
        <f>'Table 2_State Distrib and Adjs'!V28</f>
        <v>1788249</v>
      </c>
      <c r="D27" s="358"/>
      <c r="E27" s="358"/>
      <c r="F27" s="358">
        <f>-'Table 5C1A-Madison Prep'!T28</f>
        <v>0</v>
      </c>
      <c r="G27" s="358">
        <f>-'Table 5C1B-DArbonne'!T28</f>
        <v>0</v>
      </c>
      <c r="H27" s="358">
        <f>-'Table 5C1C-Intl_VIBE'!T28</f>
        <v>0</v>
      </c>
      <c r="I27" s="358">
        <f>-'Table 5C1D-NOMMA'!T28</f>
        <v>0</v>
      </c>
      <c r="J27" s="358"/>
      <c r="K27" s="358">
        <f>-'Table 5C1E-LFNO'!V28</f>
        <v>0</v>
      </c>
      <c r="L27" s="358">
        <f>-'Table 5C1F-Lake Charles Charter'!T28</f>
        <v>0</v>
      </c>
      <c r="M27" s="358">
        <f>-'Table 5C1G-JS Clark Academy'!T28</f>
        <v>0</v>
      </c>
      <c r="N27" s="358">
        <f>-'Table 5C1H-Southwest LA Charter'!T28</f>
        <v>0</v>
      </c>
      <c r="O27" s="358">
        <f>-'Table 5C1I-LA Key Academy'!T28</f>
        <v>0</v>
      </c>
      <c r="P27" s="358">
        <f>-'Table 5C1J-Jefferson Chamber'!T28</f>
        <v>0</v>
      </c>
      <c r="Q27" s="358">
        <f>-'Table 5C1K-Tallulah Charter'!T28</f>
        <v>0</v>
      </c>
      <c r="R27" s="358">
        <f>-'Table 5C1L-Northshore Charter'!T28</f>
        <v>0</v>
      </c>
      <c r="S27" s="358">
        <f>-'Table 5C1M-EBR Charter'!T28</f>
        <v>0</v>
      </c>
      <c r="T27" s="358">
        <f>-'Table 5C1N-Delta Charter'!T28</f>
        <v>0</v>
      </c>
      <c r="U27" s="358">
        <f>-'Table 5C2 - LA Virtual Admy'!U25</f>
        <v>-215</v>
      </c>
      <c r="V27" s="358">
        <f>-'Table 5C3 - LA Connections EBR'!U25</f>
        <v>-538</v>
      </c>
      <c r="W27" s="358">
        <f>-'Table 5E_OJJ'!S28</f>
        <v>-59</v>
      </c>
      <c r="X27" s="1524">
        <f t="shared" si="39"/>
        <v>-812</v>
      </c>
      <c r="Y27" s="736">
        <f t="shared" si="40"/>
        <v>1787437</v>
      </c>
      <c r="Z27" s="358"/>
      <c r="AA27" s="358"/>
      <c r="AB27" s="358"/>
      <c r="AC27" s="358">
        <f>'Table 5C1A-Madison Prep'!P28</f>
        <v>0</v>
      </c>
      <c r="AD27" s="358">
        <f>'Table 5C1B-DArbonne'!P28</f>
        <v>0</v>
      </c>
      <c r="AE27" s="358">
        <f>'Table 5C1C-Intl_VIBE'!P28</f>
        <v>0</v>
      </c>
      <c r="AF27" s="358">
        <f>'Table 5C1D-NOMMA'!P28</f>
        <v>0</v>
      </c>
      <c r="AG27" s="358">
        <f>'Table 5C1E-LFNO'!R28</f>
        <v>0</v>
      </c>
      <c r="AH27" s="358">
        <f>'Table 5C1F-Lake Charles Charter'!P28</f>
        <v>0</v>
      </c>
      <c r="AI27" s="358">
        <f>'Table 5C1G-JS Clark Academy'!P28</f>
        <v>0</v>
      </c>
      <c r="AJ27" s="358">
        <f>'Table 5C1H-Southwest LA Charter'!P28</f>
        <v>0</v>
      </c>
      <c r="AK27" s="358">
        <f>'Table 5C1I-LA Key Academy'!P28</f>
        <v>0</v>
      </c>
      <c r="AL27" s="358">
        <f>'Table 5C1J-Jefferson Chamber'!P28</f>
        <v>0</v>
      </c>
      <c r="AM27" s="358">
        <f>'Table 5C1K-Tallulah Charter'!P28</f>
        <v>0</v>
      </c>
      <c r="AN27" s="358">
        <f>'Table 5C1L-Northshore Charter'!P28</f>
        <v>0</v>
      </c>
      <c r="AO27" s="358">
        <f>'Table 5C1M-EBR Charter'!P28</f>
        <v>0</v>
      </c>
      <c r="AP27" s="358">
        <f>'Table 5C1N-Delta Charter'!P28</f>
        <v>0</v>
      </c>
      <c r="AQ27" s="358">
        <f>'Table 5C2 - LA Virtual Admy'!Q25</f>
        <v>-6</v>
      </c>
      <c r="AR27" s="358">
        <f>'Table 5C3 - LA Connections EBR'!Q25</f>
        <v>-16</v>
      </c>
      <c r="AS27" s="736">
        <f t="shared" si="38"/>
        <v>1787415</v>
      </c>
      <c r="AT27" s="47"/>
      <c r="AZ27"/>
      <c r="BI27"/>
    </row>
    <row r="28" spans="1:61">
      <c r="A28" s="99">
        <v>23</v>
      </c>
      <c r="B28" s="302" t="s">
        <v>115</v>
      </c>
      <c r="C28" s="311">
        <f>'Table 2_State Distrib and Adjs'!V29</f>
        <v>6179218</v>
      </c>
      <c r="D28" s="358"/>
      <c r="E28" s="358"/>
      <c r="F28" s="358">
        <f>-'Table 5C1A-Madison Prep'!T29</f>
        <v>0</v>
      </c>
      <c r="G28" s="358">
        <f>-'Table 5C1B-DArbonne'!T29</f>
        <v>0</v>
      </c>
      <c r="H28" s="358">
        <f>-'Table 5C1C-Intl_VIBE'!T29</f>
        <v>0</v>
      </c>
      <c r="I28" s="358">
        <f>-'Table 5C1D-NOMMA'!T29</f>
        <v>0</v>
      </c>
      <c r="J28" s="358"/>
      <c r="K28" s="358">
        <f>-'Table 5C1E-LFNO'!V29</f>
        <v>0</v>
      </c>
      <c r="L28" s="358">
        <f>-'Table 5C1F-Lake Charles Charter'!T29</f>
        <v>0</v>
      </c>
      <c r="M28" s="358">
        <f>-'Table 5C1G-JS Clark Academy'!T29</f>
        <v>0</v>
      </c>
      <c r="N28" s="358">
        <f>-'Table 5C1H-Southwest LA Charter'!T29</f>
        <v>0</v>
      </c>
      <c r="O28" s="358">
        <f>-'Table 5C1I-LA Key Academy'!T29</f>
        <v>0</v>
      </c>
      <c r="P28" s="358">
        <f>-'Table 5C1J-Jefferson Chamber'!T29</f>
        <v>0</v>
      </c>
      <c r="Q28" s="358">
        <f>-'Table 5C1K-Tallulah Charter'!T29</f>
        <v>0</v>
      </c>
      <c r="R28" s="358">
        <f>-'Table 5C1L-Northshore Charter'!T29</f>
        <v>0</v>
      </c>
      <c r="S28" s="358">
        <f>-'Table 5C1M-EBR Charter'!T29</f>
        <v>0</v>
      </c>
      <c r="T28" s="358">
        <f>-'Table 5C1N-Delta Charter'!T29</f>
        <v>0</v>
      </c>
      <c r="U28" s="358">
        <f>-'Table 5C2 - LA Virtual Admy'!U26</f>
        <v>-3270</v>
      </c>
      <c r="V28" s="358">
        <f>-'Table 5C3 - LA Connections EBR'!U26</f>
        <v>-4560</v>
      </c>
      <c r="W28" s="358">
        <f>-'Table 5E_OJJ'!S29</f>
        <v>-1388</v>
      </c>
      <c r="X28" s="1524">
        <f t="shared" si="39"/>
        <v>-9218</v>
      </c>
      <c r="Y28" s="736">
        <f t="shared" si="40"/>
        <v>6170000</v>
      </c>
      <c r="Z28" s="358"/>
      <c r="AA28" s="358"/>
      <c r="AB28" s="358"/>
      <c r="AC28" s="358">
        <f>'Table 5C1A-Madison Prep'!P29</f>
        <v>0</v>
      </c>
      <c r="AD28" s="358">
        <f>'Table 5C1B-DArbonne'!P29</f>
        <v>0</v>
      </c>
      <c r="AE28" s="358">
        <f>'Table 5C1C-Intl_VIBE'!P29</f>
        <v>0</v>
      </c>
      <c r="AF28" s="358">
        <f>'Table 5C1D-NOMMA'!P29</f>
        <v>0</v>
      </c>
      <c r="AG28" s="358">
        <f>'Table 5C1E-LFNO'!R29</f>
        <v>0</v>
      </c>
      <c r="AH28" s="358">
        <f>'Table 5C1F-Lake Charles Charter'!P29</f>
        <v>0</v>
      </c>
      <c r="AI28" s="358">
        <f>'Table 5C1G-JS Clark Academy'!P29</f>
        <v>0</v>
      </c>
      <c r="AJ28" s="358">
        <f>'Table 5C1H-Southwest LA Charter'!P29</f>
        <v>0</v>
      </c>
      <c r="AK28" s="358">
        <f>'Table 5C1I-LA Key Academy'!P29</f>
        <v>0</v>
      </c>
      <c r="AL28" s="358">
        <f>'Table 5C1J-Jefferson Chamber'!P29</f>
        <v>0</v>
      </c>
      <c r="AM28" s="358">
        <f>'Table 5C1K-Tallulah Charter'!P29</f>
        <v>0</v>
      </c>
      <c r="AN28" s="358">
        <f>'Table 5C1L-Northshore Charter'!P29</f>
        <v>0</v>
      </c>
      <c r="AO28" s="358">
        <f>'Table 5C1M-EBR Charter'!P29</f>
        <v>0</v>
      </c>
      <c r="AP28" s="358">
        <f>'Table 5C1N-Delta Charter'!P29</f>
        <v>0</v>
      </c>
      <c r="AQ28" s="358">
        <f>'Table 5C2 - LA Virtual Admy'!Q26</f>
        <v>-91</v>
      </c>
      <c r="AR28" s="358">
        <f>'Table 5C3 - LA Connections EBR'!Q26</f>
        <v>-137</v>
      </c>
      <c r="AS28" s="736">
        <f t="shared" si="38"/>
        <v>6169772</v>
      </c>
      <c r="AT28" s="47"/>
      <c r="AZ28"/>
      <c r="BI28"/>
    </row>
    <row r="29" spans="1:61">
      <c r="A29" s="99">
        <v>24</v>
      </c>
      <c r="B29" s="302" t="s">
        <v>116</v>
      </c>
      <c r="C29" s="311">
        <f>'Table 2_State Distrib and Adjs'!V30</f>
        <v>1357191</v>
      </c>
      <c r="D29" s="358"/>
      <c r="E29" s="358"/>
      <c r="F29" s="358">
        <f>-'Table 5C1A-Madison Prep'!T30</f>
        <v>0</v>
      </c>
      <c r="G29" s="358">
        <f>-'Table 5C1B-DArbonne'!T30</f>
        <v>0</v>
      </c>
      <c r="H29" s="358">
        <f>-'Table 5C1C-Intl_VIBE'!T30</f>
        <v>0</v>
      </c>
      <c r="I29" s="358">
        <f>-'Table 5C1D-NOMMA'!T30</f>
        <v>0</v>
      </c>
      <c r="J29" s="358"/>
      <c r="K29" s="358">
        <f>-'Table 5C1E-LFNO'!V30</f>
        <v>0</v>
      </c>
      <c r="L29" s="358">
        <f>-'Table 5C1F-Lake Charles Charter'!T30</f>
        <v>0</v>
      </c>
      <c r="M29" s="358">
        <f>-'Table 5C1G-JS Clark Academy'!T30</f>
        <v>0</v>
      </c>
      <c r="N29" s="358">
        <f>-'Table 5C1H-Southwest LA Charter'!T30</f>
        <v>0</v>
      </c>
      <c r="O29" s="358">
        <f>-'Table 5C1I-LA Key Academy'!T30</f>
        <v>0</v>
      </c>
      <c r="P29" s="358">
        <f>-'Table 5C1J-Jefferson Chamber'!T30</f>
        <v>0</v>
      </c>
      <c r="Q29" s="358">
        <f>-'Table 5C1K-Tallulah Charter'!T30</f>
        <v>0</v>
      </c>
      <c r="R29" s="358">
        <f>-'Table 5C1L-Northshore Charter'!T30</f>
        <v>0</v>
      </c>
      <c r="S29" s="358">
        <f>-'Table 5C1M-EBR Charter'!T30</f>
        <v>0</v>
      </c>
      <c r="T29" s="358">
        <f>-'Table 5C1N-Delta Charter'!T30</f>
        <v>0</v>
      </c>
      <c r="U29" s="358">
        <f>-'Table 5C2 - LA Virtual Admy'!U27</f>
        <v>-6253</v>
      </c>
      <c r="V29" s="358">
        <f>-'Table 5C3 - LA Connections EBR'!U27</f>
        <v>-730</v>
      </c>
      <c r="W29" s="358">
        <f>-'Table 5E_OJJ'!S30</f>
        <v>-496</v>
      </c>
      <c r="X29" s="1524">
        <f t="shared" si="39"/>
        <v>-7479</v>
      </c>
      <c r="Y29" s="736">
        <f t="shared" si="40"/>
        <v>1349712</v>
      </c>
      <c r="Z29" s="358"/>
      <c r="AA29" s="358"/>
      <c r="AB29" s="358"/>
      <c r="AC29" s="358">
        <f>'Table 5C1A-Madison Prep'!P30</f>
        <v>0</v>
      </c>
      <c r="AD29" s="358">
        <f>'Table 5C1B-DArbonne'!P30</f>
        <v>0</v>
      </c>
      <c r="AE29" s="358">
        <f>'Table 5C1C-Intl_VIBE'!P30</f>
        <v>0</v>
      </c>
      <c r="AF29" s="358">
        <f>'Table 5C1D-NOMMA'!P30</f>
        <v>0</v>
      </c>
      <c r="AG29" s="358">
        <f>'Table 5C1E-LFNO'!R30</f>
        <v>0</v>
      </c>
      <c r="AH29" s="358">
        <f>'Table 5C1F-Lake Charles Charter'!P30</f>
        <v>0</v>
      </c>
      <c r="AI29" s="358">
        <f>'Table 5C1G-JS Clark Academy'!P30</f>
        <v>0</v>
      </c>
      <c r="AJ29" s="358">
        <f>'Table 5C1H-Southwest LA Charter'!P30</f>
        <v>0</v>
      </c>
      <c r="AK29" s="358">
        <f>'Table 5C1I-LA Key Academy'!P30</f>
        <v>0</v>
      </c>
      <c r="AL29" s="358">
        <f>'Table 5C1J-Jefferson Chamber'!P30</f>
        <v>0</v>
      </c>
      <c r="AM29" s="358">
        <f>'Table 5C1K-Tallulah Charter'!P30</f>
        <v>0</v>
      </c>
      <c r="AN29" s="358">
        <f>'Table 5C1L-Northshore Charter'!P30</f>
        <v>0</v>
      </c>
      <c r="AO29" s="358">
        <f>'Table 5C1M-EBR Charter'!P30</f>
        <v>0</v>
      </c>
      <c r="AP29" s="358">
        <f>'Table 5C1N-Delta Charter'!P30</f>
        <v>0</v>
      </c>
      <c r="AQ29" s="358">
        <f>'Table 5C2 - LA Virtual Admy'!Q27</f>
        <v>-220</v>
      </c>
      <c r="AR29" s="358">
        <f>'Table 5C3 - LA Connections EBR'!Q27</f>
        <v>-22</v>
      </c>
      <c r="AS29" s="736">
        <f t="shared" si="38"/>
        <v>1349470</v>
      </c>
      <c r="AT29" s="47"/>
      <c r="AZ29"/>
      <c r="BI29"/>
    </row>
    <row r="30" spans="1:61">
      <c r="A30" s="100">
        <v>25</v>
      </c>
      <c r="B30" s="303" t="s">
        <v>117</v>
      </c>
      <c r="C30" s="319">
        <f>'Table 2_State Distrib and Adjs'!V31</f>
        <v>835664</v>
      </c>
      <c r="D30" s="359"/>
      <c r="E30" s="359"/>
      <c r="F30" s="359">
        <f>-'Table 5C1A-Madison Prep'!T31</f>
        <v>0</v>
      </c>
      <c r="G30" s="359">
        <f>-'Table 5C1B-DArbonne'!T31</f>
        <v>0</v>
      </c>
      <c r="H30" s="359">
        <f>-'Table 5C1C-Intl_VIBE'!T31</f>
        <v>0</v>
      </c>
      <c r="I30" s="359">
        <f>-'Table 5C1D-NOMMA'!T31</f>
        <v>0</v>
      </c>
      <c r="J30" s="359"/>
      <c r="K30" s="359">
        <f>-'Table 5C1E-LFNO'!V31</f>
        <v>0</v>
      </c>
      <c r="L30" s="359">
        <f>-'Table 5C1F-Lake Charles Charter'!T31</f>
        <v>0</v>
      </c>
      <c r="M30" s="359">
        <f>-'Table 5C1G-JS Clark Academy'!T31</f>
        <v>0</v>
      </c>
      <c r="N30" s="359">
        <f>-'Table 5C1H-Southwest LA Charter'!T31</f>
        <v>0</v>
      </c>
      <c r="O30" s="359">
        <f>-'Table 5C1I-LA Key Academy'!T31</f>
        <v>0</v>
      </c>
      <c r="P30" s="359">
        <f>-'Table 5C1J-Jefferson Chamber'!T31</f>
        <v>0</v>
      </c>
      <c r="Q30" s="359">
        <f>-'Table 5C1K-Tallulah Charter'!T31</f>
        <v>0</v>
      </c>
      <c r="R30" s="359">
        <f>-'Table 5C1L-Northshore Charter'!T31</f>
        <v>0</v>
      </c>
      <c r="S30" s="359">
        <f>-'Table 5C1M-EBR Charter'!T31</f>
        <v>0</v>
      </c>
      <c r="T30" s="359">
        <f>-'Table 5C1N-Delta Charter'!T31</f>
        <v>0</v>
      </c>
      <c r="U30" s="359">
        <f>-'Table 5C2 - LA Virtual Admy'!U28</f>
        <v>-1260</v>
      </c>
      <c r="V30" s="359">
        <f>-'Table 5C3 - LA Connections EBR'!U28</f>
        <v>-362</v>
      </c>
      <c r="W30" s="359">
        <f>-'Table 5E_OJJ'!S31</f>
        <v>-338</v>
      </c>
      <c r="X30" s="359">
        <f t="shared" si="39"/>
        <v>-1960</v>
      </c>
      <c r="Y30" s="737">
        <f t="shared" si="40"/>
        <v>833704</v>
      </c>
      <c r="Z30" s="359"/>
      <c r="AA30" s="359"/>
      <c r="AB30" s="359"/>
      <c r="AC30" s="359">
        <f>'Table 5C1A-Madison Prep'!P31</f>
        <v>0</v>
      </c>
      <c r="AD30" s="359">
        <f>'Table 5C1B-DArbonne'!P31</f>
        <v>0</v>
      </c>
      <c r="AE30" s="359">
        <f>'Table 5C1C-Intl_VIBE'!P31</f>
        <v>0</v>
      </c>
      <c r="AF30" s="359">
        <f>'Table 5C1D-NOMMA'!P31</f>
        <v>0</v>
      </c>
      <c r="AG30" s="359">
        <f>'Table 5C1E-LFNO'!R31</f>
        <v>0</v>
      </c>
      <c r="AH30" s="359">
        <f>'Table 5C1F-Lake Charles Charter'!P31</f>
        <v>0</v>
      </c>
      <c r="AI30" s="359">
        <f>'Table 5C1G-JS Clark Academy'!P31</f>
        <v>0</v>
      </c>
      <c r="AJ30" s="359">
        <f>'Table 5C1H-Southwest LA Charter'!P31</f>
        <v>0</v>
      </c>
      <c r="AK30" s="359">
        <f>'Table 5C1I-LA Key Academy'!P31</f>
        <v>0</v>
      </c>
      <c r="AL30" s="359">
        <f>'Table 5C1J-Jefferson Chamber'!P31</f>
        <v>0</v>
      </c>
      <c r="AM30" s="359">
        <f>'Table 5C1K-Tallulah Charter'!P31</f>
        <v>0</v>
      </c>
      <c r="AN30" s="359">
        <f>'Table 5C1L-Northshore Charter'!P31</f>
        <v>0</v>
      </c>
      <c r="AO30" s="359">
        <f>'Table 5C1M-EBR Charter'!P31</f>
        <v>0</v>
      </c>
      <c r="AP30" s="359">
        <f>'Table 5C1N-Delta Charter'!P31</f>
        <v>0</v>
      </c>
      <c r="AQ30" s="359">
        <f>'Table 5C2 - LA Virtual Admy'!Q28</f>
        <v>-44</v>
      </c>
      <c r="AR30" s="359">
        <f>'Table 5C3 - LA Connections EBR'!Q28</f>
        <v>-11</v>
      </c>
      <c r="AS30" s="737">
        <f t="shared" si="38"/>
        <v>833649</v>
      </c>
      <c r="AT30" s="47"/>
      <c r="AZ30"/>
      <c r="BI30"/>
    </row>
    <row r="31" spans="1:61">
      <c r="A31" s="99">
        <v>26</v>
      </c>
      <c r="B31" s="302" t="s">
        <v>118</v>
      </c>
      <c r="C31" s="311">
        <f>'Table 2_State Distrib and Adjs'!V32</f>
        <v>14955962</v>
      </c>
      <c r="D31" s="358"/>
      <c r="E31" s="358"/>
      <c r="F31" s="358">
        <f>-'Table 5C1A-Madison Prep'!T32</f>
        <v>0</v>
      </c>
      <c r="G31" s="358">
        <f>-'Table 5C1B-DArbonne'!T32</f>
        <v>0</v>
      </c>
      <c r="H31" s="358">
        <f>-'Table 5C1C-Intl_VIBE'!T32</f>
        <v>-20269.69875</v>
      </c>
      <c r="I31" s="358">
        <f>-'Table 5C1D-NOMMA'!T32</f>
        <v>-48858.352083333331</v>
      </c>
      <c r="J31" s="358"/>
      <c r="K31" s="358">
        <f>-'Table 5C1E-LFNO'!V32</f>
        <v>-21591.635624999999</v>
      </c>
      <c r="L31" s="358">
        <f>-'Table 5C1F-Lake Charles Charter'!T32</f>
        <v>0</v>
      </c>
      <c r="M31" s="358">
        <f>-'Table 5C1G-JS Clark Academy'!T32</f>
        <v>0</v>
      </c>
      <c r="N31" s="358">
        <f>-'Table 5C1H-Southwest LA Charter'!T32</f>
        <v>0</v>
      </c>
      <c r="O31" s="358">
        <f>-'Table 5C1I-LA Key Academy'!T32</f>
        <v>0</v>
      </c>
      <c r="P31" s="358">
        <f>-'Table 5C1J-Jefferson Chamber'!T32</f>
        <v>-39658.106250000004</v>
      </c>
      <c r="Q31" s="358">
        <f>-'Table 5C1K-Tallulah Charter'!T32</f>
        <v>0</v>
      </c>
      <c r="R31" s="358">
        <f>-'Table 5C1L-Northshore Charter'!T32</f>
        <v>0</v>
      </c>
      <c r="S31" s="358">
        <f>-'Table 5C1M-EBR Charter'!T32</f>
        <v>0</v>
      </c>
      <c r="T31" s="358">
        <f>-'Table 5C1N-Delta Charter'!T32</f>
        <v>0</v>
      </c>
      <c r="U31" s="358">
        <f>-'Table 5C2 - LA Virtual Admy'!U29</f>
        <v>-40438</v>
      </c>
      <c r="V31" s="358">
        <f>-'Table 5C3 - LA Connections EBR'!U29</f>
        <v>-38865</v>
      </c>
      <c r="W31" s="358">
        <f>-'Table 5E_OJJ'!S32</f>
        <v>-9059</v>
      </c>
      <c r="X31" s="1524">
        <f t="shared" si="39"/>
        <v>-218739.79270833332</v>
      </c>
      <c r="Y31" s="736">
        <f t="shared" si="40"/>
        <v>14737222.207291666</v>
      </c>
      <c r="Z31" s="358"/>
      <c r="AA31" s="358"/>
      <c r="AB31" s="358"/>
      <c r="AC31" s="358">
        <f>'Table 5C1A-Madison Prep'!P32</f>
        <v>0</v>
      </c>
      <c r="AD31" s="358">
        <f>'Table 5C1B-DArbonne'!P32</f>
        <v>0</v>
      </c>
      <c r="AE31" s="358">
        <f>'Table 5C1C-Intl_VIBE'!P32</f>
        <v>-609.61500000000001</v>
      </c>
      <c r="AF31" s="358">
        <f>'Table 5C1D-NOMMA'!P32</f>
        <v>-1457.7750000000001</v>
      </c>
      <c r="AG31" s="358">
        <f>'Table 5C1E-LFNO'!R32</f>
        <v>-649.37250000000006</v>
      </c>
      <c r="AH31" s="358">
        <f>'Table 5C1F-Lake Charles Charter'!P32</f>
        <v>0</v>
      </c>
      <c r="AI31" s="358">
        <f>'Table 5C1G-JS Clark Academy'!P32</f>
        <v>0</v>
      </c>
      <c r="AJ31" s="358">
        <f>'Table 5C1H-Southwest LA Charter'!P32</f>
        <v>0</v>
      </c>
      <c r="AK31" s="358">
        <f>'Table 5C1I-LA Key Academy'!P32</f>
        <v>0</v>
      </c>
      <c r="AL31" s="358">
        <f>'Table 5C1J-Jefferson Chamber'!P32</f>
        <v>-1192.7250000000001</v>
      </c>
      <c r="AM31" s="358">
        <f>'Table 5C1K-Tallulah Charter'!P32</f>
        <v>0</v>
      </c>
      <c r="AN31" s="358">
        <f>'Table 5C1L-Northshore Charter'!P32</f>
        <v>0</v>
      </c>
      <c r="AO31" s="358">
        <f>'Table 5C1M-EBR Charter'!P32</f>
        <v>0</v>
      </c>
      <c r="AP31" s="358">
        <f>'Table 5C1N-Delta Charter'!P32</f>
        <v>0</v>
      </c>
      <c r="AQ31" s="358">
        <f>'Table 5C2 - LA Virtual Admy'!Q29</f>
        <v>-1145</v>
      </c>
      <c r="AR31" s="358">
        <f>'Table 5C3 - LA Connections EBR'!Q29</f>
        <v>-1169</v>
      </c>
      <c r="AS31" s="736">
        <f t="shared" si="38"/>
        <v>14730998.719791666</v>
      </c>
      <c r="AT31" s="47"/>
      <c r="AZ31"/>
      <c r="BI31"/>
    </row>
    <row r="32" spans="1:61">
      <c r="A32" s="99">
        <v>27</v>
      </c>
      <c r="B32" s="302" t="s">
        <v>119</v>
      </c>
      <c r="C32" s="311">
        <f>'Table 2_State Distrib and Adjs'!V33</f>
        <v>2972331</v>
      </c>
      <c r="D32" s="358"/>
      <c r="E32" s="358"/>
      <c r="F32" s="358">
        <f>-'Table 5C1A-Madison Prep'!T33</f>
        <v>0</v>
      </c>
      <c r="G32" s="358">
        <f>-'Table 5C1B-DArbonne'!T33</f>
        <v>0</v>
      </c>
      <c r="H32" s="358">
        <f>-'Table 5C1C-Intl_VIBE'!T33</f>
        <v>0</v>
      </c>
      <c r="I32" s="358">
        <f>-'Table 5C1D-NOMMA'!T33</f>
        <v>0</v>
      </c>
      <c r="J32" s="358"/>
      <c r="K32" s="358">
        <f>-'Table 5C1E-LFNO'!V33</f>
        <v>0</v>
      </c>
      <c r="L32" s="358">
        <f>-'Table 5C1F-Lake Charles Charter'!T33</f>
        <v>0</v>
      </c>
      <c r="M32" s="358">
        <f>-'Table 5C1G-JS Clark Academy'!T33</f>
        <v>0</v>
      </c>
      <c r="N32" s="358">
        <f>-'Table 5C1H-Southwest LA Charter'!T33</f>
        <v>-2162.58</v>
      </c>
      <c r="O32" s="358">
        <f>-'Table 5C1I-LA Key Academy'!T33</f>
        <v>0</v>
      </c>
      <c r="P32" s="358">
        <f>-'Table 5C1J-Jefferson Chamber'!T33</f>
        <v>0</v>
      </c>
      <c r="Q32" s="358">
        <f>-'Table 5C1K-Tallulah Charter'!T33</f>
        <v>0</v>
      </c>
      <c r="R32" s="358">
        <f>-'Table 5C1L-Northshore Charter'!T33</f>
        <v>0</v>
      </c>
      <c r="S32" s="358">
        <f>-'Table 5C1M-EBR Charter'!T33</f>
        <v>0</v>
      </c>
      <c r="T32" s="358">
        <f>-'Table 5C1N-Delta Charter'!T33</f>
        <v>0</v>
      </c>
      <c r="U32" s="358">
        <f>-'Table 5C2 - LA Virtual Admy'!U30</f>
        <v>-1284</v>
      </c>
      <c r="V32" s="358">
        <f>-'Table 5C3 - LA Connections EBR'!U30</f>
        <v>-1703</v>
      </c>
      <c r="W32" s="358">
        <f>-'Table 5E_OJJ'!S33</f>
        <v>-589</v>
      </c>
      <c r="X32" s="1524">
        <f t="shared" si="39"/>
        <v>-5738.58</v>
      </c>
      <c r="Y32" s="736">
        <f t="shared" si="40"/>
        <v>2966592.42</v>
      </c>
      <c r="Z32" s="358"/>
      <c r="AA32" s="358"/>
      <c r="AB32" s="358"/>
      <c r="AC32" s="358">
        <f>'Table 5C1A-Madison Prep'!P33</f>
        <v>0</v>
      </c>
      <c r="AD32" s="358">
        <f>'Table 5C1B-DArbonne'!P33</f>
        <v>0</v>
      </c>
      <c r="AE32" s="358">
        <f>'Table 5C1C-Intl_VIBE'!P33</f>
        <v>0</v>
      </c>
      <c r="AF32" s="358">
        <f>'Table 5C1D-NOMMA'!P33</f>
        <v>0</v>
      </c>
      <c r="AG32" s="358">
        <f>'Table 5C1E-LFNO'!R33</f>
        <v>0</v>
      </c>
      <c r="AH32" s="358">
        <f>'Table 5C1F-Lake Charles Charter'!P33</f>
        <v>0</v>
      </c>
      <c r="AI32" s="358">
        <f>'Table 5C1G-JS Clark Academy'!P33</f>
        <v>0</v>
      </c>
      <c r="AJ32" s="358">
        <f>'Table 5C1H-Southwest LA Charter'!P33</f>
        <v>-65.040000000000006</v>
      </c>
      <c r="AK32" s="358">
        <f>'Table 5C1I-LA Key Academy'!P33</f>
        <v>0</v>
      </c>
      <c r="AL32" s="358">
        <f>'Table 5C1J-Jefferson Chamber'!P33</f>
        <v>0</v>
      </c>
      <c r="AM32" s="358">
        <f>'Table 5C1K-Tallulah Charter'!P33</f>
        <v>0</v>
      </c>
      <c r="AN32" s="358">
        <f>'Table 5C1L-Northshore Charter'!P33</f>
        <v>0</v>
      </c>
      <c r="AO32" s="358">
        <f>'Table 5C1M-EBR Charter'!P33</f>
        <v>0</v>
      </c>
      <c r="AP32" s="358">
        <f>'Table 5C1N-Delta Charter'!P33</f>
        <v>0</v>
      </c>
      <c r="AQ32" s="358">
        <f>'Table 5C2 - LA Virtual Admy'!Q30</f>
        <v>-22</v>
      </c>
      <c r="AR32" s="358">
        <f>'Table 5C3 - LA Connections EBR'!Q30</f>
        <v>-51</v>
      </c>
      <c r="AS32" s="736">
        <f t="shared" si="38"/>
        <v>2966454.38</v>
      </c>
      <c r="AT32" s="47"/>
      <c r="AZ32"/>
      <c r="BI32"/>
    </row>
    <row r="33" spans="1:61">
      <c r="A33" s="99">
        <v>28</v>
      </c>
      <c r="B33" s="302" t="s">
        <v>120</v>
      </c>
      <c r="C33" s="311">
        <f>'Table 2_State Distrib and Adjs'!V34</f>
        <v>9618193</v>
      </c>
      <c r="D33" s="358"/>
      <c r="E33" s="358"/>
      <c r="F33" s="358">
        <f>-'Table 5C1A-Madison Prep'!T34</f>
        <v>0</v>
      </c>
      <c r="G33" s="358">
        <f>-'Table 5C1B-DArbonne'!T34</f>
        <v>0</v>
      </c>
      <c r="H33" s="358">
        <f>-'Table 5C1C-Intl_VIBE'!T34</f>
        <v>0</v>
      </c>
      <c r="I33" s="358">
        <f>-'Table 5C1D-NOMMA'!T34</f>
        <v>0</v>
      </c>
      <c r="J33" s="358"/>
      <c r="K33" s="358">
        <f>-'Table 5C1E-LFNO'!V34</f>
        <v>0</v>
      </c>
      <c r="L33" s="358">
        <f>-'Table 5C1F-Lake Charles Charter'!T34</f>
        <v>0</v>
      </c>
      <c r="M33" s="358">
        <f>-'Table 5C1G-JS Clark Academy'!T34</f>
        <v>-445.63312500000001</v>
      </c>
      <c r="N33" s="358">
        <f>-'Table 5C1H-Southwest LA Charter'!T34</f>
        <v>0</v>
      </c>
      <c r="O33" s="358">
        <f>-'Table 5C1I-LA Key Academy'!T34</f>
        <v>0</v>
      </c>
      <c r="P33" s="358">
        <f>-'Table 5C1J-Jefferson Chamber'!T34</f>
        <v>0</v>
      </c>
      <c r="Q33" s="358">
        <f>-'Table 5C1K-Tallulah Charter'!T34</f>
        <v>0</v>
      </c>
      <c r="R33" s="358">
        <f>-'Table 5C1L-Northshore Charter'!T34</f>
        <v>0</v>
      </c>
      <c r="S33" s="358">
        <f>-'Table 5C1M-EBR Charter'!T34</f>
        <v>0</v>
      </c>
      <c r="T33" s="358">
        <f>-'Table 5C1N-Delta Charter'!T34</f>
        <v>0</v>
      </c>
      <c r="U33" s="358">
        <f>-'Table 5C2 - LA Virtual Admy'!U31</f>
        <v>-15831</v>
      </c>
      <c r="V33" s="358">
        <f>-'Table 5C3 - LA Connections EBR'!U31</f>
        <v>-18449</v>
      </c>
      <c r="W33" s="358">
        <f>-'Table 5E_OJJ'!S34</f>
        <v>-2543</v>
      </c>
      <c r="X33" s="1524">
        <f t="shared" si="39"/>
        <v>-37268.633125</v>
      </c>
      <c r="Y33" s="736">
        <f t="shared" si="40"/>
        <v>9580924.3668750003</v>
      </c>
      <c r="Z33" s="358"/>
      <c r="AA33" s="358"/>
      <c r="AB33" s="358"/>
      <c r="AC33" s="358">
        <f>'Table 5C1A-Madison Prep'!P34</f>
        <v>0</v>
      </c>
      <c r="AD33" s="358">
        <f>'Table 5C1B-DArbonne'!P34</f>
        <v>0</v>
      </c>
      <c r="AE33" s="358">
        <f>'Table 5C1C-Intl_VIBE'!P34</f>
        <v>0</v>
      </c>
      <c r="AF33" s="358">
        <f>'Table 5C1D-NOMMA'!P34</f>
        <v>0</v>
      </c>
      <c r="AG33" s="358">
        <f>'Table 5C1E-LFNO'!R34</f>
        <v>0</v>
      </c>
      <c r="AH33" s="358">
        <f>'Table 5C1F-Lake Charles Charter'!P34</f>
        <v>0</v>
      </c>
      <c r="AI33" s="358">
        <f>'Table 5C1G-JS Clark Academy'!P34</f>
        <v>-13.4025</v>
      </c>
      <c r="AJ33" s="358">
        <f>'Table 5C1H-Southwest LA Charter'!P34</f>
        <v>0</v>
      </c>
      <c r="AK33" s="358">
        <f>'Table 5C1I-LA Key Academy'!P34</f>
        <v>0</v>
      </c>
      <c r="AL33" s="358">
        <f>'Table 5C1J-Jefferson Chamber'!P34</f>
        <v>0</v>
      </c>
      <c r="AM33" s="358">
        <f>'Table 5C1K-Tallulah Charter'!P34</f>
        <v>0</v>
      </c>
      <c r="AN33" s="358">
        <f>'Table 5C1L-Northshore Charter'!P34</f>
        <v>0</v>
      </c>
      <c r="AO33" s="358">
        <f>'Table 5C1M-EBR Charter'!P34</f>
        <v>0</v>
      </c>
      <c r="AP33" s="358">
        <f>'Table 5C1N-Delta Charter'!P34</f>
        <v>0</v>
      </c>
      <c r="AQ33" s="358">
        <f>'Table 5C2 - LA Virtual Admy'!Q31</f>
        <v>-470</v>
      </c>
      <c r="AR33" s="358">
        <f>'Table 5C3 - LA Connections EBR'!Q31</f>
        <v>-555</v>
      </c>
      <c r="AS33" s="736">
        <f t="shared" si="38"/>
        <v>9579885.9643750004</v>
      </c>
      <c r="AT33" s="47"/>
      <c r="AZ33"/>
      <c r="BI33"/>
    </row>
    <row r="34" spans="1:61">
      <c r="A34" s="99">
        <v>29</v>
      </c>
      <c r="B34" s="302" t="s">
        <v>121</v>
      </c>
      <c r="C34" s="311">
        <f>'Table 2_State Distrib and Adjs'!V35</f>
        <v>5358322</v>
      </c>
      <c r="D34" s="358"/>
      <c r="E34" s="358"/>
      <c r="F34" s="358">
        <f>-'Table 5C1A-Madison Prep'!T35</f>
        <v>0</v>
      </c>
      <c r="G34" s="358">
        <f>-'Table 5C1B-DArbonne'!T35</f>
        <v>0</v>
      </c>
      <c r="H34" s="358">
        <f>-'Table 5C1C-Intl_VIBE'!T35</f>
        <v>0</v>
      </c>
      <c r="I34" s="358">
        <f>-'Table 5C1D-NOMMA'!T35</f>
        <v>0</v>
      </c>
      <c r="J34" s="358"/>
      <c r="K34" s="358">
        <f>-'Table 5C1E-LFNO'!V35</f>
        <v>0</v>
      </c>
      <c r="L34" s="358">
        <f>-'Table 5C1F-Lake Charles Charter'!T35</f>
        <v>0</v>
      </c>
      <c r="M34" s="358">
        <f>-'Table 5C1G-JS Clark Academy'!T35</f>
        <v>0</v>
      </c>
      <c r="N34" s="358">
        <f>-'Table 5C1H-Southwest LA Charter'!T35</f>
        <v>0</v>
      </c>
      <c r="O34" s="358">
        <f>-'Table 5C1I-LA Key Academy'!T35</f>
        <v>0</v>
      </c>
      <c r="P34" s="358">
        <f>-'Table 5C1J-Jefferson Chamber'!T35</f>
        <v>0</v>
      </c>
      <c r="Q34" s="358">
        <f>-'Table 5C1K-Tallulah Charter'!T35</f>
        <v>0</v>
      </c>
      <c r="R34" s="358">
        <f>-'Table 5C1L-Northshore Charter'!T35</f>
        <v>0</v>
      </c>
      <c r="S34" s="358">
        <f>-'Table 5C1M-EBR Charter'!T35</f>
        <v>0</v>
      </c>
      <c r="T34" s="358">
        <f>-'Table 5C1N-Delta Charter'!T35</f>
        <v>0</v>
      </c>
      <c r="U34" s="358">
        <f>-'Table 5C2 - LA Virtual Admy'!U32</f>
        <v>-4276</v>
      </c>
      <c r="V34" s="358">
        <f>-'Table 5C3 - LA Connections EBR'!U32</f>
        <v>-2851</v>
      </c>
      <c r="W34" s="358">
        <f>-'Table 5E_OJJ'!S35</f>
        <v>-2807</v>
      </c>
      <c r="X34" s="1524">
        <f t="shared" si="39"/>
        <v>-9934</v>
      </c>
      <c r="Y34" s="736">
        <f t="shared" si="40"/>
        <v>5348388</v>
      </c>
      <c r="Z34" s="358"/>
      <c r="AA34" s="358"/>
      <c r="AB34" s="358"/>
      <c r="AC34" s="358">
        <f>'Table 5C1A-Madison Prep'!P35</f>
        <v>0</v>
      </c>
      <c r="AD34" s="358">
        <f>'Table 5C1B-DArbonne'!P35</f>
        <v>0</v>
      </c>
      <c r="AE34" s="358">
        <f>'Table 5C1C-Intl_VIBE'!P35</f>
        <v>0</v>
      </c>
      <c r="AF34" s="358">
        <f>'Table 5C1D-NOMMA'!P35</f>
        <v>0</v>
      </c>
      <c r="AG34" s="358">
        <f>'Table 5C1E-LFNO'!R35</f>
        <v>0</v>
      </c>
      <c r="AH34" s="358">
        <f>'Table 5C1F-Lake Charles Charter'!P35</f>
        <v>0</v>
      </c>
      <c r="AI34" s="358">
        <f>'Table 5C1G-JS Clark Academy'!P35</f>
        <v>0</v>
      </c>
      <c r="AJ34" s="358">
        <f>'Table 5C1H-Southwest LA Charter'!P35</f>
        <v>0</v>
      </c>
      <c r="AK34" s="358">
        <f>'Table 5C1I-LA Key Academy'!P35</f>
        <v>0</v>
      </c>
      <c r="AL34" s="358">
        <f>'Table 5C1J-Jefferson Chamber'!P35</f>
        <v>0</v>
      </c>
      <c r="AM34" s="358">
        <f>'Table 5C1K-Tallulah Charter'!P35</f>
        <v>0</v>
      </c>
      <c r="AN34" s="358">
        <f>'Table 5C1L-Northshore Charter'!P35</f>
        <v>0</v>
      </c>
      <c r="AO34" s="358">
        <f>'Table 5C1M-EBR Charter'!P35</f>
        <v>0</v>
      </c>
      <c r="AP34" s="358">
        <f>'Table 5C1N-Delta Charter'!P35</f>
        <v>0</v>
      </c>
      <c r="AQ34" s="358">
        <f>'Table 5C2 - LA Virtual Admy'!Q32</f>
        <v>-129</v>
      </c>
      <c r="AR34" s="358">
        <f>'Table 5C3 - LA Connections EBR'!Q32</f>
        <v>-86</v>
      </c>
      <c r="AS34" s="736">
        <f t="shared" si="38"/>
        <v>5348173</v>
      </c>
      <c r="AT34" s="47"/>
      <c r="AZ34"/>
      <c r="BI34"/>
    </row>
    <row r="35" spans="1:61">
      <c r="A35" s="100">
        <v>30</v>
      </c>
      <c r="B35" s="303" t="s">
        <v>122</v>
      </c>
      <c r="C35" s="319">
        <f>'Table 2_State Distrib and Adjs'!V36</f>
        <v>1312357</v>
      </c>
      <c r="D35" s="359"/>
      <c r="E35" s="359"/>
      <c r="F35" s="359">
        <f>-'Table 5C1A-Madison Prep'!T36</f>
        <v>0</v>
      </c>
      <c r="G35" s="359">
        <f>-'Table 5C1B-DArbonne'!T36</f>
        <v>0</v>
      </c>
      <c r="H35" s="359">
        <f>-'Table 5C1C-Intl_VIBE'!T36</f>
        <v>0</v>
      </c>
      <c r="I35" s="359">
        <f>-'Table 5C1D-NOMMA'!T36</f>
        <v>0</v>
      </c>
      <c r="J35" s="359"/>
      <c r="K35" s="359">
        <f>-'Table 5C1E-LFNO'!V36</f>
        <v>0</v>
      </c>
      <c r="L35" s="359">
        <f>-'Table 5C1F-Lake Charles Charter'!T36</f>
        <v>0</v>
      </c>
      <c r="M35" s="359">
        <f>-'Table 5C1G-JS Clark Academy'!T36</f>
        <v>0</v>
      </c>
      <c r="N35" s="359">
        <f>-'Table 5C1H-Southwest LA Charter'!T36</f>
        <v>0</v>
      </c>
      <c r="O35" s="359">
        <f>-'Table 5C1I-LA Key Academy'!T36</f>
        <v>0</v>
      </c>
      <c r="P35" s="359">
        <f>-'Table 5C1J-Jefferson Chamber'!T36</f>
        <v>0</v>
      </c>
      <c r="Q35" s="359">
        <f>-'Table 5C1K-Tallulah Charter'!T36</f>
        <v>0</v>
      </c>
      <c r="R35" s="359">
        <f>-'Table 5C1L-Northshore Charter'!T36</f>
        <v>0</v>
      </c>
      <c r="S35" s="359">
        <f>-'Table 5C1M-EBR Charter'!T36</f>
        <v>0</v>
      </c>
      <c r="T35" s="359">
        <f>-'Table 5C1N-Delta Charter'!T36</f>
        <v>0</v>
      </c>
      <c r="U35" s="359">
        <f>-'Table 5C2 - LA Virtual Admy'!U33</f>
        <v>-968</v>
      </c>
      <c r="V35" s="359">
        <f>-'Table 5C3 - LA Connections EBR'!U33</f>
        <v>-484</v>
      </c>
      <c r="W35" s="359">
        <f>-'Table 5E_OJJ'!S36</f>
        <v>0</v>
      </c>
      <c r="X35" s="359">
        <f t="shared" si="39"/>
        <v>-1452</v>
      </c>
      <c r="Y35" s="737">
        <f t="shared" si="40"/>
        <v>1310905</v>
      </c>
      <c r="Z35" s="359"/>
      <c r="AA35" s="359"/>
      <c r="AB35" s="359"/>
      <c r="AC35" s="359">
        <f>'Table 5C1A-Madison Prep'!P36</f>
        <v>0</v>
      </c>
      <c r="AD35" s="359">
        <f>'Table 5C1B-DArbonne'!P36</f>
        <v>0</v>
      </c>
      <c r="AE35" s="359">
        <f>'Table 5C1C-Intl_VIBE'!P36</f>
        <v>0</v>
      </c>
      <c r="AF35" s="359">
        <f>'Table 5C1D-NOMMA'!P36</f>
        <v>0</v>
      </c>
      <c r="AG35" s="359">
        <f>'Table 5C1E-LFNO'!R36</f>
        <v>0</v>
      </c>
      <c r="AH35" s="359">
        <f>'Table 5C1F-Lake Charles Charter'!P36</f>
        <v>0</v>
      </c>
      <c r="AI35" s="359">
        <f>'Table 5C1G-JS Clark Academy'!P36</f>
        <v>0</v>
      </c>
      <c r="AJ35" s="359">
        <f>'Table 5C1H-Southwest LA Charter'!P36</f>
        <v>0</v>
      </c>
      <c r="AK35" s="359">
        <f>'Table 5C1I-LA Key Academy'!P36</f>
        <v>0</v>
      </c>
      <c r="AL35" s="359">
        <f>'Table 5C1J-Jefferson Chamber'!P36</f>
        <v>0</v>
      </c>
      <c r="AM35" s="359">
        <f>'Table 5C1K-Tallulah Charter'!P36</f>
        <v>0</v>
      </c>
      <c r="AN35" s="359">
        <f>'Table 5C1L-Northshore Charter'!P36</f>
        <v>0</v>
      </c>
      <c r="AO35" s="359">
        <f>'Table 5C1M-EBR Charter'!P36</f>
        <v>0</v>
      </c>
      <c r="AP35" s="359">
        <f>'Table 5C1N-Delta Charter'!P36</f>
        <v>0</v>
      </c>
      <c r="AQ35" s="359">
        <f>'Table 5C2 - LA Virtual Admy'!Q33</f>
        <v>-29</v>
      </c>
      <c r="AR35" s="359">
        <f>'Table 5C3 - LA Connections EBR'!Q33</f>
        <v>-15</v>
      </c>
      <c r="AS35" s="737">
        <f t="shared" si="38"/>
        <v>1310861</v>
      </c>
      <c r="AT35" s="47"/>
      <c r="AZ35"/>
      <c r="BI35"/>
    </row>
    <row r="36" spans="1:61">
      <c r="A36" s="99">
        <v>31</v>
      </c>
      <c r="B36" s="302" t="s">
        <v>123</v>
      </c>
      <c r="C36" s="311">
        <f>'Table 2_State Distrib and Adjs'!V37</f>
        <v>2646596</v>
      </c>
      <c r="D36" s="358"/>
      <c r="E36" s="358"/>
      <c r="F36" s="358">
        <f>-'Table 5C1A-Madison Prep'!T37</f>
        <v>0</v>
      </c>
      <c r="G36" s="358">
        <f>-'Table 5C1B-DArbonne'!T37</f>
        <v>-3188.6749999999997</v>
      </c>
      <c r="H36" s="358">
        <f>-'Table 5C1C-Intl_VIBE'!T37</f>
        <v>0</v>
      </c>
      <c r="I36" s="358">
        <f>-'Table 5C1D-NOMMA'!T37</f>
        <v>0</v>
      </c>
      <c r="J36" s="358"/>
      <c r="K36" s="358">
        <f>-'Table 5C1E-LFNO'!V37</f>
        <v>0</v>
      </c>
      <c r="L36" s="358">
        <f>-'Table 5C1F-Lake Charles Charter'!T37</f>
        <v>0</v>
      </c>
      <c r="M36" s="358">
        <f>-'Table 5C1G-JS Clark Academy'!T37</f>
        <v>0</v>
      </c>
      <c r="N36" s="358">
        <f>-'Table 5C1H-Southwest LA Charter'!T37</f>
        <v>0</v>
      </c>
      <c r="O36" s="358">
        <f>-'Table 5C1I-LA Key Academy'!T37</f>
        <v>0</v>
      </c>
      <c r="P36" s="358">
        <f>-'Table 5C1J-Jefferson Chamber'!T37</f>
        <v>0</v>
      </c>
      <c r="Q36" s="358">
        <f>-'Table 5C1K-Tallulah Charter'!T37</f>
        <v>0</v>
      </c>
      <c r="R36" s="358">
        <f>-'Table 5C1L-Northshore Charter'!T37</f>
        <v>0</v>
      </c>
      <c r="S36" s="358">
        <f>-'Table 5C1M-EBR Charter'!T37</f>
        <v>0</v>
      </c>
      <c r="T36" s="358">
        <f>-'Table 5C1N-Delta Charter'!T37</f>
        <v>0</v>
      </c>
      <c r="U36" s="358">
        <f>-'Table 5C2 - LA Virtual Admy'!U34</f>
        <v>-191</v>
      </c>
      <c r="V36" s="358">
        <f>-'Table 5C3 - LA Connections EBR'!U34</f>
        <v>-1435</v>
      </c>
      <c r="W36" s="358">
        <f>-'Table 5E_OJJ'!S37</f>
        <v>-441</v>
      </c>
      <c r="X36" s="1524">
        <f t="shared" si="39"/>
        <v>-5255.6749999999993</v>
      </c>
      <c r="Y36" s="736">
        <f t="shared" si="40"/>
        <v>2641340.3250000002</v>
      </c>
      <c r="Z36" s="358"/>
      <c r="AA36" s="358"/>
      <c r="AB36" s="358"/>
      <c r="AC36" s="358">
        <f>'Table 5C1A-Madison Prep'!P37</f>
        <v>0</v>
      </c>
      <c r="AD36" s="358">
        <f>'Table 5C1B-DArbonne'!P37</f>
        <v>-95.9</v>
      </c>
      <c r="AE36" s="358">
        <f>'Table 5C1C-Intl_VIBE'!P37</f>
        <v>0</v>
      </c>
      <c r="AF36" s="358">
        <f>'Table 5C1D-NOMMA'!P37</f>
        <v>0</v>
      </c>
      <c r="AG36" s="358">
        <f>'Table 5C1E-LFNO'!R37</f>
        <v>0</v>
      </c>
      <c r="AH36" s="358">
        <f>'Table 5C1F-Lake Charles Charter'!P37</f>
        <v>0</v>
      </c>
      <c r="AI36" s="358">
        <f>'Table 5C1G-JS Clark Academy'!P37</f>
        <v>0</v>
      </c>
      <c r="AJ36" s="358">
        <f>'Table 5C1H-Southwest LA Charter'!P37</f>
        <v>0</v>
      </c>
      <c r="AK36" s="358">
        <f>'Table 5C1I-LA Key Academy'!P37</f>
        <v>0</v>
      </c>
      <c r="AL36" s="358">
        <f>'Table 5C1J-Jefferson Chamber'!P37</f>
        <v>0</v>
      </c>
      <c r="AM36" s="358">
        <f>'Table 5C1K-Tallulah Charter'!P37</f>
        <v>0</v>
      </c>
      <c r="AN36" s="358">
        <f>'Table 5C1L-Northshore Charter'!P37</f>
        <v>0</v>
      </c>
      <c r="AO36" s="358">
        <f>'Table 5C1M-EBR Charter'!P37</f>
        <v>0</v>
      </c>
      <c r="AP36" s="358">
        <f>'Table 5C1N-Delta Charter'!P37</f>
        <v>0</v>
      </c>
      <c r="AQ36" s="358">
        <f>'Table 5C2 - LA Virtual Admy'!Q34</f>
        <v>-22</v>
      </c>
      <c r="AR36" s="358">
        <f>'Table 5C3 - LA Connections EBR'!Q34</f>
        <v>-43</v>
      </c>
      <c r="AS36" s="736">
        <f t="shared" si="38"/>
        <v>2641179.4250000003</v>
      </c>
      <c r="AT36" s="47"/>
      <c r="AZ36"/>
      <c r="BI36"/>
    </row>
    <row r="37" spans="1:61">
      <c r="A37" s="99">
        <v>32</v>
      </c>
      <c r="B37" s="302" t="s">
        <v>124</v>
      </c>
      <c r="C37" s="311">
        <f>'Table 2_State Distrib and Adjs'!V38</f>
        <v>12541450</v>
      </c>
      <c r="D37" s="358"/>
      <c r="E37" s="358"/>
      <c r="F37" s="358">
        <f>-'Table 5C1A-Madison Prep'!T38</f>
        <v>0</v>
      </c>
      <c r="G37" s="358">
        <f>-'Table 5C1B-DArbonne'!T38</f>
        <v>0</v>
      </c>
      <c r="H37" s="358">
        <f>-'Table 5C1C-Intl_VIBE'!T38</f>
        <v>0</v>
      </c>
      <c r="I37" s="358">
        <f>-'Table 5C1D-NOMMA'!T38</f>
        <v>0</v>
      </c>
      <c r="J37" s="358"/>
      <c r="K37" s="358">
        <f>-'Table 5C1E-LFNO'!V38</f>
        <v>0</v>
      </c>
      <c r="L37" s="358">
        <f>-'Table 5C1F-Lake Charles Charter'!T38</f>
        <v>0</v>
      </c>
      <c r="M37" s="358">
        <f>-'Table 5C1G-JS Clark Academy'!T38</f>
        <v>0</v>
      </c>
      <c r="N37" s="358">
        <f>-'Table 5C1H-Southwest LA Charter'!T38</f>
        <v>0</v>
      </c>
      <c r="O37" s="358">
        <f>-'Table 5C1I-LA Key Academy'!T38</f>
        <v>-1051.86375</v>
      </c>
      <c r="P37" s="358">
        <f>-'Table 5C1J-Jefferson Chamber'!T38</f>
        <v>0</v>
      </c>
      <c r="Q37" s="358">
        <f>-'Table 5C1K-Tallulah Charter'!T38</f>
        <v>0</v>
      </c>
      <c r="R37" s="358">
        <f>-'Table 5C1L-Northshore Charter'!T38</f>
        <v>0</v>
      </c>
      <c r="S37" s="358">
        <f>-'Table 5C1M-EBR Charter'!T38</f>
        <v>0</v>
      </c>
      <c r="T37" s="358">
        <f>-'Table 5C1N-Delta Charter'!T38</f>
        <v>0</v>
      </c>
      <c r="U37" s="358">
        <f>-'Table 5C2 - LA Virtual Admy'!U35</f>
        <v>-5260</v>
      </c>
      <c r="V37" s="358">
        <f>-'Table 5C3 - LA Connections EBR'!U35</f>
        <v>-11991</v>
      </c>
      <c r="W37" s="358">
        <f>-'Table 5E_OJJ'!S38</f>
        <v>-283</v>
      </c>
      <c r="X37" s="1524">
        <f t="shared" si="39"/>
        <v>-18585.86375</v>
      </c>
      <c r="Y37" s="736">
        <f t="shared" si="40"/>
        <v>12522864.13625</v>
      </c>
      <c r="Z37" s="358"/>
      <c r="AA37" s="358"/>
      <c r="AB37" s="358"/>
      <c r="AC37" s="358">
        <f>'Table 5C1A-Madison Prep'!P38</f>
        <v>0</v>
      </c>
      <c r="AD37" s="358">
        <f>'Table 5C1B-DArbonne'!P38</f>
        <v>0</v>
      </c>
      <c r="AE37" s="358">
        <f>'Table 5C1C-Intl_VIBE'!P38</f>
        <v>0</v>
      </c>
      <c r="AF37" s="358">
        <f>'Table 5C1D-NOMMA'!P38</f>
        <v>0</v>
      </c>
      <c r="AG37" s="358">
        <f>'Table 5C1E-LFNO'!R38</f>
        <v>0</v>
      </c>
      <c r="AH37" s="358">
        <f>'Table 5C1F-Lake Charles Charter'!P38</f>
        <v>0</v>
      </c>
      <c r="AI37" s="358">
        <f>'Table 5C1G-JS Clark Academy'!P38</f>
        <v>0</v>
      </c>
      <c r="AJ37" s="358">
        <f>'Table 5C1H-Southwest LA Charter'!P38</f>
        <v>0</v>
      </c>
      <c r="AK37" s="358">
        <f>'Table 5C1I-LA Key Academy'!P38</f>
        <v>-31.635000000000002</v>
      </c>
      <c r="AL37" s="358">
        <f>'Table 5C1J-Jefferson Chamber'!P38</f>
        <v>0</v>
      </c>
      <c r="AM37" s="358">
        <f>'Table 5C1K-Tallulah Charter'!P38</f>
        <v>0</v>
      </c>
      <c r="AN37" s="358">
        <f>'Table 5C1L-Northshore Charter'!P38</f>
        <v>0</v>
      </c>
      <c r="AO37" s="358">
        <f>'Table 5C1M-EBR Charter'!P38</f>
        <v>0</v>
      </c>
      <c r="AP37" s="358">
        <f>'Table 5C1N-Delta Charter'!P38</f>
        <v>0</v>
      </c>
      <c r="AQ37" s="358">
        <f>'Table 5C2 - LA Virtual Admy'!Q35</f>
        <v>-152</v>
      </c>
      <c r="AR37" s="358">
        <f>'Table 5C3 - LA Connections EBR'!Q35</f>
        <v>-361</v>
      </c>
      <c r="AS37" s="736">
        <f t="shared" si="38"/>
        <v>12522319.501250001</v>
      </c>
      <c r="AT37" s="47"/>
      <c r="AZ37"/>
      <c r="BI37"/>
    </row>
    <row r="38" spans="1:61">
      <c r="A38" s="99">
        <v>33</v>
      </c>
      <c r="B38" s="302" t="s">
        <v>125</v>
      </c>
      <c r="C38" s="311">
        <f>'Table 2_State Distrib and Adjs'!V39</f>
        <v>886264</v>
      </c>
      <c r="D38" s="358"/>
      <c r="E38" s="358"/>
      <c r="F38" s="358">
        <f>-'Table 5C1A-Madison Prep'!T39</f>
        <v>0</v>
      </c>
      <c r="G38" s="358">
        <f>-'Table 5C1B-DArbonne'!T39</f>
        <v>0</v>
      </c>
      <c r="H38" s="358">
        <f>-'Table 5C1C-Intl_VIBE'!T39</f>
        <v>0</v>
      </c>
      <c r="I38" s="358">
        <f>-'Table 5C1D-NOMMA'!T39</f>
        <v>0</v>
      </c>
      <c r="J38" s="358"/>
      <c r="K38" s="358">
        <f>-'Table 5C1E-LFNO'!V39</f>
        <v>0</v>
      </c>
      <c r="L38" s="358">
        <f>-'Table 5C1F-Lake Charles Charter'!T39</f>
        <v>0</v>
      </c>
      <c r="M38" s="358">
        <f>-'Table 5C1G-JS Clark Academy'!T39</f>
        <v>0</v>
      </c>
      <c r="N38" s="358">
        <f>-'Table 5C1H-Southwest LA Charter'!T39</f>
        <v>0</v>
      </c>
      <c r="O38" s="358">
        <f>-'Table 5C1I-LA Key Academy'!T39</f>
        <v>0</v>
      </c>
      <c r="P38" s="358">
        <f>-'Table 5C1J-Jefferson Chamber'!T39</f>
        <v>0</v>
      </c>
      <c r="Q38" s="358">
        <f>-'Table 5C1K-Tallulah Charter'!T39</f>
        <v>-51085.964999999997</v>
      </c>
      <c r="R38" s="358">
        <f>-'Table 5C1L-Northshore Charter'!T39</f>
        <v>0</v>
      </c>
      <c r="S38" s="358">
        <f>-'Table 5C1M-EBR Charter'!T39</f>
        <v>0</v>
      </c>
      <c r="T38" s="358">
        <f>-'Table 5C1N-Delta Charter'!T39</f>
        <v>0</v>
      </c>
      <c r="U38" s="358">
        <f>-'Table 5C2 - LA Virtual Admy'!U36</f>
        <v>289</v>
      </c>
      <c r="V38" s="358">
        <f>-'Table 5C3 - LA Connections EBR'!U36</f>
        <v>-793</v>
      </c>
      <c r="W38" s="358">
        <f>-'Table 5E_OJJ'!S39</f>
        <v>-623</v>
      </c>
      <c r="X38" s="1524">
        <f t="shared" si="39"/>
        <v>-52212.964999999997</v>
      </c>
      <c r="Y38" s="736">
        <f t="shared" si="40"/>
        <v>834051.03500000003</v>
      </c>
      <c r="Z38" s="358"/>
      <c r="AA38" s="358"/>
      <c r="AB38" s="358"/>
      <c r="AC38" s="358">
        <f>'Table 5C1A-Madison Prep'!P39</f>
        <v>0</v>
      </c>
      <c r="AD38" s="358">
        <f>'Table 5C1B-DArbonne'!P39</f>
        <v>0</v>
      </c>
      <c r="AE38" s="358">
        <f>'Table 5C1C-Intl_VIBE'!P39</f>
        <v>0</v>
      </c>
      <c r="AF38" s="358">
        <f>'Table 5C1D-NOMMA'!P39</f>
        <v>0</v>
      </c>
      <c r="AG38" s="358">
        <f>'Table 5C1E-LFNO'!R39</f>
        <v>0</v>
      </c>
      <c r="AH38" s="358">
        <f>'Table 5C1F-Lake Charles Charter'!P39</f>
        <v>0</v>
      </c>
      <c r="AI38" s="358">
        <f>'Table 5C1G-JS Clark Academy'!P39</f>
        <v>0</v>
      </c>
      <c r="AJ38" s="358">
        <f>'Table 5C1H-Southwest LA Charter'!P39</f>
        <v>0</v>
      </c>
      <c r="AK38" s="358">
        <f>'Table 5C1I-LA Key Academy'!P39</f>
        <v>0</v>
      </c>
      <c r="AL38" s="358">
        <f>'Table 5C1J-Jefferson Chamber'!P39</f>
        <v>0</v>
      </c>
      <c r="AM38" s="358">
        <f>'Table 5C1K-Tallulah Charter'!P39</f>
        <v>-1536.42</v>
      </c>
      <c r="AN38" s="358">
        <f>'Table 5C1L-Northshore Charter'!P39</f>
        <v>0</v>
      </c>
      <c r="AO38" s="358">
        <f>'Table 5C1M-EBR Charter'!P39</f>
        <v>0</v>
      </c>
      <c r="AP38" s="358">
        <f>'Table 5C1N-Delta Charter'!P39</f>
        <v>0</v>
      </c>
      <c r="AQ38" s="358">
        <f>'Table 5C2 - LA Virtual Admy'!Q36</f>
        <v>-12</v>
      </c>
      <c r="AR38" s="358">
        <f>'Table 5C3 - LA Connections EBR'!Q36</f>
        <v>-24</v>
      </c>
      <c r="AS38" s="736">
        <f t="shared" ref="AS38:AS69" si="41">SUM(Y38:AR38)</f>
        <v>832478.61499999999</v>
      </c>
      <c r="AT38" s="47"/>
      <c r="AZ38"/>
      <c r="BI38"/>
    </row>
    <row r="39" spans="1:61">
      <c r="A39" s="99">
        <v>34</v>
      </c>
      <c r="B39" s="302" t="s">
        <v>126</v>
      </c>
      <c r="C39" s="311">
        <f>'Table 2_State Distrib and Adjs'!V40</f>
        <v>2354242</v>
      </c>
      <c r="D39" s="358"/>
      <c r="E39" s="358"/>
      <c r="F39" s="358">
        <f>-'Table 5C1A-Madison Prep'!T40</f>
        <v>0</v>
      </c>
      <c r="G39" s="358">
        <f>-'Table 5C1B-DArbonne'!T40</f>
        <v>0</v>
      </c>
      <c r="H39" s="358">
        <f>-'Table 5C1C-Intl_VIBE'!T40</f>
        <v>0</v>
      </c>
      <c r="I39" s="358">
        <f>-'Table 5C1D-NOMMA'!T40</f>
        <v>0</v>
      </c>
      <c r="J39" s="358"/>
      <c r="K39" s="358">
        <f>-'Table 5C1E-LFNO'!V40</f>
        <v>0</v>
      </c>
      <c r="L39" s="358">
        <f>-'Table 5C1F-Lake Charles Charter'!T40</f>
        <v>0</v>
      </c>
      <c r="M39" s="358">
        <f>-'Table 5C1G-JS Clark Academy'!T40</f>
        <v>0</v>
      </c>
      <c r="N39" s="358">
        <f>-'Table 5C1H-Southwest LA Charter'!T40</f>
        <v>0</v>
      </c>
      <c r="O39" s="358">
        <f>-'Table 5C1I-LA Key Academy'!T40</f>
        <v>0</v>
      </c>
      <c r="P39" s="358">
        <f>-'Table 5C1J-Jefferson Chamber'!T40</f>
        <v>0</v>
      </c>
      <c r="Q39" s="358">
        <f>-'Table 5C1K-Tallulah Charter'!T40</f>
        <v>0</v>
      </c>
      <c r="R39" s="358">
        <f>-'Table 5C1L-Northshore Charter'!T40</f>
        <v>0</v>
      </c>
      <c r="S39" s="358">
        <f>-'Table 5C1M-EBR Charter'!T40</f>
        <v>0</v>
      </c>
      <c r="T39" s="358">
        <f>-'Table 5C1N-Delta Charter'!T40</f>
        <v>0</v>
      </c>
      <c r="U39" s="358">
        <f>-'Table 5C2 - LA Virtual Admy'!U37</f>
        <v>-3263</v>
      </c>
      <c r="V39" s="358">
        <f>-'Table 5C3 - LA Connections EBR'!U37</f>
        <v>-1475</v>
      </c>
      <c r="W39" s="358">
        <f>-'Table 5E_OJJ'!S40</f>
        <v>-179</v>
      </c>
      <c r="X39" s="1524">
        <f t="shared" si="39"/>
        <v>-4917</v>
      </c>
      <c r="Y39" s="736">
        <f t="shared" si="40"/>
        <v>2349325</v>
      </c>
      <c r="Z39" s="358"/>
      <c r="AA39" s="358"/>
      <c r="AB39" s="358"/>
      <c r="AC39" s="358">
        <f>'Table 5C1A-Madison Prep'!P40</f>
        <v>0</v>
      </c>
      <c r="AD39" s="358">
        <f>'Table 5C1B-DArbonne'!P40</f>
        <v>0</v>
      </c>
      <c r="AE39" s="358">
        <f>'Table 5C1C-Intl_VIBE'!P40</f>
        <v>0</v>
      </c>
      <c r="AF39" s="358">
        <f>'Table 5C1D-NOMMA'!P40</f>
        <v>0</v>
      </c>
      <c r="AG39" s="358">
        <f>'Table 5C1E-LFNO'!R40</f>
        <v>0</v>
      </c>
      <c r="AH39" s="358">
        <f>'Table 5C1F-Lake Charles Charter'!P40</f>
        <v>0</v>
      </c>
      <c r="AI39" s="358">
        <f>'Table 5C1G-JS Clark Academy'!P40</f>
        <v>0</v>
      </c>
      <c r="AJ39" s="358">
        <f>'Table 5C1H-Southwest LA Charter'!P40</f>
        <v>0</v>
      </c>
      <c r="AK39" s="358">
        <f>'Table 5C1I-LA Key Academy'!P40</f>
        <v>0</v>
      </c>
      <c r="AL39" s="358">
        <f>'Table 5C1J-Jefferson Chamber'!P40</f>
        <v>0</v>
      </c>
      <c r="AM39" s="358">
        <f>'Table 5C1K-Tallulah Charter'!P40</f>
        <v>0</v>
      </c>
      <c r="AN39" s="358">
        <f>'Table 5C1L-Northshore Charter'!P40</f>
        <v>0</v>
      </c>
      <c r="AO39" s="358">
        <f>'Table 5C1M-EBR Charter'!P40</f>
        <v>0</v>
      </c>
      <c r="AP39" s="358">
        <f>'Table 5C1N-Delta Charter'!P40</f>
        <v>0</v>
      </c>
      <c r="AQ39" s="358">
        <f>'Table 5C2 - LA Virtual Admy'!Q37</f>
        <v>-95</v>
      </c>
      <c r="AR39" s="358">
        <f>'Table 5C3 - LA Connections EBR'!Q37</f>
        <v>-44</v>
      </c>
      <c r="AS39" s="736">
        <f t="shared" si="41"/>
        <v>2349186</v>
      </c>
      <c r="AT39" s="47"/>
      <c r="AZ39"/>
      <c r="BI39"/>
    </row>
    <row r="40" spans="1:61">
      <c r="A40" s="100">
        <v>35</v>
      </c>
      <c r="B40" s="303" t="s">
        <v>127</v>
      </c>
      <c r="C40" s="319">
        <f>'Table 2_State Distrib and Adjs'!V41</f>
        <v>2768388</v>
      </c>
      <c r="D40" s="359"/>
      <c r="E40" s="359"/>
      <c r="F40" s="359">
        <f>-'Table 5C1A-Madison Prep'!T41</f>
        <v>0</v>
      </c>
      <c r="G40" s="359">
        <f>-'Table 5C1B-DArbonne'!T41</f>
        <v>0</v>
      </c>
      <c r="H40" s="359">
        <f>-'Table 5C1C-Intl_VIBE'!T41</f>
        <v>0</v>
      </c>
      <c r="I40" s="359">
        <f>-'Table 5C1D-NOMMA'!T41</f>
        <v>0</v>
      </c>
      <c r="J40" s="359"/>
      <c r="K40" s="359">
        <f>-'Table 5C1E-LFNO'!V41</f>
        <v>0</v>
      </c>
      <c r="L40" s="359">
        <f>-'Table 5C1F-Lake Charles Charter'!T41</f>
        <v>0</v>
      </c>
      <c r="M40" s="359">
        <f>-'Table 5C1G-JS Clark Academy'!T41</f>
        <v>0</v>
      </c>
      <c r="N40" s="359">
        <f>-'Table 5C1H-Southwest LA Charter'!T41</f>
        <v>0</v>
      </c>
      <c r="O40" s="359">
        <f>-'Table 5C1I-LA Key Academy'!T41</f>
        <v>0</v>
      </c>
      <c r="P40" s="359">
        <f>-'Table 5C1J-Jefferson Chamber'!T41</f>
        <v>0</v>
      </c>
      <c r="Q40" s="359">
        <f>-'Table 5C1K-Tallulah Charter'!T41</f>
        <v>0</v>
      </c>
      <c r="R40" s="359">
        <f>-'Table 5C1L-Northshore Charter'!T41</f>
        <v>0</v>
      </c>
      <c r="S40" s="359">
        <f>-'Table 5C1M-EBR Charter'!T41</f>
        <v>0</v>
      </c>
      <c r="T40" s="359">
        <f>-'Table 5C1N-Delta Charter'!T41</f>
        <v>0</v>
      </c>
      <c r="U40" s="359">
        <f>-'Table 5C2 - LA Virtual Admy'!U38</f>
        <v>-4549</v>
      </c>
      <c r="V40" s="359">
        <f>-'Table 5C3 - LA Connections EBR'!U38</f>
        <v>-3948</v>
      </c>
      <c r="W40" s="359">
        <f>-'Table 5E_OJJ'!S41</f>
        <v>-878</v>
      </c>
      <c r="X40" s="359">
        <f t="shared" si="39"/>
        <v>-9375</v>
      </c>
      <c r="Y40" s="737">
        <f t="shared" si="40"/>
        <v>2759013</v>
      </c>
      <c r="Z40" s="359"/>
      <c r="AA40" s="359"/>
      <c r="AB40" s="359"/>
      <c r="AC40" s="359">
        <f>'Table 5C1A-Madison Prep'!P41</f>
        <v>0</v>
      </c>
      <c r="AD40" s="359">
        <f>'Table 5C1B-DArbonne'!P41</f>
        <v>0</v>
      </c>
      <c r="AE40" s="359">
        <f>'Table 5C1C-Intl_VIBE'!P41</f>
        <v>0</v>
      </c>
      <c r="AF40" s="359">
        <f>'Table 5C1D-NOMMA'!P41</f>
        <v>0</v>
      </c>
      <c r="AG40" s="359">
        <f>'Table 5C1E-LFNO'!R41</f>
        <v>0</v>
      </c>
      <c r="AH40" s="359">
        <f>'Table 5C1F-Lake Charles Charter'!P41</f>
        <v>0</v>
      </c>
      <c r="AI40" s="359">
        <f>'Table 5C1G-JS Clark Academy'!P41</f>
        <v>0</v>
      </c>
      <c r="AJ40" s="359">
        <f>'Table 5C1H-Southwest LA Charter'!P41</f>
        <v>0</v>
      </c>
      <c r="AK40" s="359">
        <f>'Table 5C1I-LA Key Academy'!P41</f>
        <v>0</v>
      </c>
      <c r="AL40" s="359">
        <f>'Table 5C1J-Jefferson Chamber'!P41</f>
        <v>0</v>
      </c>
      <c r="AM40" s="359">
        <f>'Table 5C1K-Tallulah Charter'!P41</f>
        <v>0</v>
      </c>
      <c r="AN40" s="359">
        <f>'Table 5C1L-Northshore Charter'!P41</f>
        <v>0</v>
      </c>
      <c r="AO40" s="359">
        <f>'Table 5C1M-EBR Charter'!P41</f>
        <v>0</v>
      </c>
      <c r="AP40" s="359">
        <f>'Table 5C1N-Delta Charter'!P41</f>
        <v>0</v>
      </c>
      <c r="AQ40" s="359">
        <f>'Table 5C2 - LA Virtual Admy'!Q38</f>
        <v>-126</v>
      </c>
      <c r="AR40" s="359">
        <f>'Table 5C3 - LA Connections EBR'!Q38</f>
        <v>-119</v>
      </c>
      <c r="AS40" s="737">
        <f t="shared" si="41"/>
        <v>2758768</v>
      </c>
      <c r="AT40" s="47"/>
      <c r="AZ40"/>
      <c r="BI40"/>
    </row>
    <row r="41" spans="1:61">
      <c r="A41" s="99">
        <v>36</v>
      </c>
      <c r="B41" s="302" t="s">
        <v>128</v>
      </c>
      <c r="C41" s="311">
        <f>'Table 2_State Distrib and Adjs'!V42</f>
        <v>3891883</v>
      </c>
      <c r="D41" s="358"/>
      <c r="E41" s="999">
        <f>-'Table 5B1_RSD_Orleans'!S70</f>
        <v>-11299155.993125003</v>
      </c>
      <c r="F41" s="358">
        <f>-'Table 5C1A-Madison Prep'!T42</f>
        <v>0</v>
      </c>
      <c r="G41" s="358">
        <f>-'Table 5C1B-DArbonne'!T42</f>
        <v>0</v>
      </c>
      <c r="H41" s="358">
        <f>-'Table 5C1C-Intl_VIBE'!T42</f>
        <v>-149939.04624999998</v>
      </c>
      <c r="I41" s="358">
        <f>-'Table 5C1D-NOMMA'!T42</f>
        <v>-47046.09</v>
      </c>
      <c r="J41" s="358"/>
      <c r="K41" s="358">
        <f>-'Table 5C1E-LFNO'!V42</f>
        <v>-66045.472500000003</v>
      </c>
      <c r="L41" s="358">
        <f>-'Table 5C1F-Lake Charles Charter'!T42</f>
        <v>0</v>
      </c>
      <c r="M41" s="358">
        <f>-'Table 5C1G-JS Clark Academy'!T42</f>
        <v>0</v>
      </c>
      <c r="N41" s="358">
        <f>-'Table 5C1H-Southwest LA Charter'!T42</f>
        <v>0</v>
      </c>
      <c r="O41" s="358">
        <f>-'Table 5C1I-LA Key Academy'!T42</f>
        <v>0</v>
      </c>
      <c r="P41" s="358">
        <f>-'Table 5C1J-Jefferson Chamber'!T42</f>
        <v>-2261.8312499999997</v>
      </c>
      <c r="Q41" s="358">
        <f>-'Table 5C1K-Tallulah Charter'!T42</f>
        <v>0</v>
      </c>
      <c r="R41" s="358">
        <f>-'Table 5C1L-Northshore Charter'!T42</f>
        <v>0</v>
      </c>
      <c r="S41" s="358">
        <f>-'Table 5C1M-EBR Charter'!T42</f>
        <v>0</v>
      </c>
      <c r="T41" s="358">
        <f>-'Table 5C1N-Delta Charter'!T42</f>
        <v>0</v>
      </c>
      <c r="U41" s="358">
        <f>-'Table 5C2 - LA Virtual Admy'!U39</f>
        <v>-20443</v>
      </c>
      <c r="V41" s="358">
        <f>-'Table 5C3 - LA Connections EBR'!U39</f>
        <v>-17507</v>
      </c>
      <c r="W41" s="358">
        <f>-'Table 5E_OJJ'!S42</f>
        <v>-10696</v>
      </c>
      <c r="X41" s="1524">
        <f t="shared" si="39"/>
        <v>-11613094.433125004</v>
      </c>
      <c r="Y41" s="736">
        <f t="shared" si="40"/>
        <v>-7721211.4331250042</v>
      </c>
      <c r="Z41" s="358"/>
      <c r="AA41" s="358"/>
      <c r="AB41" s="358">
        <f>'Table 5B1_RSD_Orleans'!N70</f>
        <v>-312891.58250000014</v>
      </c>
      <c r="AC41" s="358">
        <f>'Table 5C1A-Madison Prep'!P42</f>
        <v>0</v>
      </c>
      <c r="AD41" s="358">
        <f>'Table 5C1B-DArbonne'!P42</f>
        <v>0</v>
      </c>
      <c r="AE41" s="358">
        <f>'Table 5C1C-Intl_VIBE'!P42</f>
        <v>-4509.4449999999997</v>
      </c>
      <c r="AF41" s="358">
        <f>'Table 5C1D-NOMMA'!P42</f>
        <v>-1414.92</v>
      </c>
      <c r="AG41" s="358">
        <f>'Table 5C1E-LFNO'!R42</f>
        <v>-1986.3300000000002</v>
      </c>
      <c r="AH41" s="358">
        <f>'Table 5C1F-Lake Charles Charter'!P42</f>
        <v>0</v>
      </c>
      <c r="AI41" s="358">
        <f>'Table 5C1G-JS Clark Academy'!P42</f>
        <v>0</v>
      </c>
      <c r="AJ41" s="358">
        <f>'Table 5C1H-Southwest LA Charter'!P42</f>
        <v>0</v>
      </c>
      <c r="AK41" s="358">
        <f>'Table 5C1I-LA Key Academy'!P42</f>
        <v>0</v>
      </c>
      <c r="AL41" s="358">
        <f>'Table 5C1J-Jefferson Chamber'!P42</f>
        <v>-68.025000000000006</v>
      </c>
      <c r="AM41" s="358">
        <f>'Table 5C1K-Tallulah Charter'!P42</f>
        <v>0</v>
      </c>
      <c r="AN41" s="358">
        <f>'Table 5C1L-Northshore Charter'!P42</f>
        <v>0</v>
      </c>
      <c r="AO41" s="358">
        <f>'Table 5C1M-EBR Charter'!P42</f>
        <v>0</v>
      </c>
      <c r="AP41" s="358">
        <f>'Table 5C1N-Delta Charter'!P42</f>
        <v>0</v>
      </c>
      <c r="AQ41" s="358">
        <f>'Table 5C2 - LA Virtual Admy'!Q39</f>
        <v>-637</v>
      </c>
      <c r="AR41" s="358">
        <f>'Table 5C3 - LA Connections EBR'!Q39</f>
        <v>-527</v>
      </c>
      <c r="AS41" s="736">
        <f t="shared" si="41"/>
        <v>-8043245.7356250053</v>
      </c>
      <c r="AT41" s="730"/>
      <c r="AV41" s="730"/>
      <c r="AW41" s="730"/>
      <c r="AX41" s="730"/>
      <c r="AZ41"/>
      <c r="BI41"/>
    </row>
    <row r="42" spans="1:61">
      <c r="A42" s="99">
        <v>37</v>
      </c>
      <c r="B42" s="302" t="s">
        <v>129</v>
      </c>
      <c r="C42" s="311">
        <f>'Table 2_State Distrib and Adjs'!V43</f>
        <v>10029438</v>
      </c>
      <c r="D42" s="358"/>
      <c r="E42" s="358"/>
      <c r="F42" s="358">
        <f>-'Table 5C1A-Madison Prep'!T43</f>
        <v>0</v>
      </c>
      <c r="G42" s="358">
        <f>-'Table 5C1B-DArbonne'!T43</f>
        <v>-804.73312500000009</v>
      </c>
      <c r="H42" s="358">
        <f>-'Table 5C1C-Intl_VIBE'!T43</f>
        <v>0</v>
      </c>
      <c r="I42" s="358">
        <f>-'Table 5C1D-NOMMA'!T43</f>
        <v>0</v>
      </c>
      <c r="J42" s="358"/>
      <c r="K42" s="358">
        <f>-'Table 5C1E-LFNO'!V43</f>
        <v>0</v>
      </c>
      <c r="L42" s="358">
        <f>-'Table 5C1F-Lake Charles Charter'!T43</f>
        <v>0</v>
      </c>
      <c r="M42" s="358">
        <f>-'Table 5C1G-JS Clark Academy'!T43</f>
        <v>0</v>
      </c>
      <c r="N42" s="358">
        <f>-'Table 5C1H-Southwest LA Charter'!T43</f>
        <v>0</v>
      </c>
      <c r="O42" s="358">
        <f>-'Table 5C1I-LA Key Academy'!T43</f>
        <v>0</v>
      </c>
      <c r="P42" s="358">
        <f>-'Table 5C1J-Jefferson Chamber'!T43</f>
        <v>0</v>
      </c>
      <c r="Q42" s="358">
        <f>-'Table 5C1K-Tallulah Charter'!T43</f>
        <v>0</v>
      </c>
      <c r="R42" s="358">
        <f>-'Table 5C1L-Northshore Charter'!T43</f>
        <v>0</v>
      </c>
      <c r="S42" s="358">
        <f>-'Table 5C1M-EBR Charter'!T43</f>
        <v>0</v>
      </c>
      <c r="T42" s="358">
        <f>-'Table 5C1N-Delta Charter'!T43</f>
        <v>0</v>
      </c>
      <c r="U42" s="358">
        <f>-'Table 5C2 - LA Virtual Admy'!U40</f>
        <v>-9614</v>
      </c>
      <c r="V42" s="358">
        <f>-'Table 5C3 - LA Connections EBR'!U40</f>
        <v>-4104</v>
      </c>
      <c r="W42" s="358">
        <f>-'Table 5E_OJJ'!S43</f>
        <v>-1209</v>
      </c>
      <c r="X42" s="1524">
        <f t="shared" si="39"/>
        <v>-15731.733125000001</v>
      </c>
      <c r="Y42" s="736">
        <f t="shared" si="40"/>
        <v>10013706.266875001</v>
      </c>
      <c r="Z42" s="358"/>
      <c r="AA42" s="358"/>
      <c r="AB42" s="358"/>
      <c r="AC42" s="358">
        <f>'Table 5C1A-Madison Prep'!P43</f>
        <v>0</v>
      </c>
      <c r="AD42" s="358">
        <f>'Table 5C1B-DArbonne'!P43</f>
        <v>-24.202500000000001</v>
      </c>
      <c r="AE42" s="358">
        <f>'Table 5C1C-Intl_VIBE'!P43</f>
        <v>0</v>
      </c>
      <c r="AF42" s="358">
        <f>'Table 5C1D-NOMMA'!P43</f>
        <v>0</v>
      </c>
      <c r="AG42" s="358">
        <f>'Table 5C1E-LFNO'!R43</f>
        <v>0</v>
      </c>
      <c r="AH42" s="358">
        <f>'Table 5C1F-Lake Charles Charter'!P43</f>
        <v>0</v>
      </c>
      <c r="AI42" s="358">
        <f>'Table 5C1G-JS Clark Academy'!P43</f>
        <v>0</v>
      </c>
      <c r="AJ42" s="358">
        <f>'Table 5C1H-Southwest LA Charter'!P43</f>
        <v>0</v>
      </c>
      <c r="AK42" s="358">
        <f>'Table 5C1I-LA Key Academy'!P43</f>
        <v>0</v>
      </c>
      <c r="AL42" s="358">
        <f>'Table 5C1J-Jefferson Chamber'!P43</f>
        <v>0</v>
      </c>
      <c r="AM42" s="358">
        <f>'Table 5C1K-Tallulah Charter'!P43</f>
        <v>0</v>
      </c>
      <c r="AN42" s="358">
        <f>'Table 5C1L-Northshore Charter'!P43</f>
        <v>0</v>
      </c>
      <c r="AO42" s="358">
        <f>'Table 5C1M-EBR Charter'!P43</f>
        <v>0</v>
      </c>
      <c r="AP42" s="358">
        <f>'Table 5C1N-Delta Charter'!P43</f>
        <v>0</v>
      </c>
      <c r="AQ42" s="358">
        <f>'Table 5C2 - LA Virtual Admy'!Q40</f>
        <v>-269</v>
      </c>
      <c r="AR42" s="358">
        <f>'Table 5C3 - LA Connections EBR'!Q40</f>
        <v>-123</v>
      </c>
      <c r="AS42" s="736">
        <f t="shared" si="41"/>
        <v>10013290.064375</v>
      </c>
      <c r="AT42" s="730"/>
      <c r="AV42" s="730"/>
      <c r="AW42" s="730"/>
      <c r="AX42" s="730"/>
      <c r="AZ42"/>
      <c r="BI42"/>
    </row>
    <row r="43" spans="1:61">
      <c r="A43" s="99">
        <v>38</v>
      </c>
      <c r="B43" s="302" t="s">
        <v>130</v>
      </c>
      <c r="C43" s="311">
        <f>'Table 2_State Distrib and Adjs'!V44</f>
        <v>950745</v>
      </c>
      <c r="D43" s="358"/>
      <c r="E43" s="358"/>
      <c r="F43" s="358">
        <f>-'Table 5C1A-Madison Prep'!T44</f>
        <v>0</v>
      </c>
      <c r="G43" s="358">
        <f>-'Table 5C1B-DArbonne'!T44</f>
        <v>0</v>
      </c>
      <c r="H43" s="358">
        <f>-'Table 5C1C-Intl_VIBE'!T44</f>
        <v>0</v>
      </c>
      <c r="I43" s="358">
        <f>-'Table 5C1D-NOMMA'!T44</f>
        <v>-7226.5550000000003</v>
      </c>
      <c r="J43" s="358"/>
      <c r="K43" s="358">
        <f>-'Table 5C1E-LFNO'!V44</f>
        <v>-2709.9581250000001</v>
      </c>
      <c r="L43" s="358">
        <f>-'Table 5C1F-Lake Charles Charter'!T44</f>
        <v>0</v>
      </c>
      <c r="M43" s="358">
        <f>-'Table 5C1G-JS Clark Academy'!T44</f>
        <v>0</v>
      </c>
      <c r="N43" s="358">
        <f>-'Table 5C1H-Southwest LA Charter'!T44</f>
        <v>0</v>
      </c>
      <c r="O43" s="358">
        <f>-'Table 5C1I-LA Key Academy'!T44</f>
        <v>0</v>
      </c>
      <c r="P43" s="358">
        <f>-'Table 5C1J-Jefferson Chamber'!T44</f>
        <v>0</v>
      </c>
      <c r="Q43" s="358">
        <f>-'Table 5C1K-Tallulah Charter'!T44</f>
        <v>0</v>
      </c>
      <c r="R43" s="358">
        <f>-'Table 5C1L-Northshore Charter'!T44</f>
        <v>0</v>
      </c>
      <c r="S43" s="358">
        <f>-'Table 5C1M-EBR Charter'!T44</f>
        <v>0</v>
      </c>
      <c r="T43" s="358">
        <f>-'Table 5C1N-Delta Charter'!T44</f>
        <v>0</v>
      </c>
      <c r="U43" s="358">
        <f>-'Table 5C2 - LA Virtual Admy'!U41</f>
        <v>-1198</v>
      </c>
      <c r="V43" s="358">
        <f>-'Table 5C3 - LA Connections EBR'!U41</f>
        <v>-4878</v>
      </c>
      <c r="W43" s="358">
        <f>-'Table 5E_OJJ'!S44</f>
        <v>-287</v>
      </c>
      <c r="X43" s="1524">
        <f t="shared" si="39"/>
        <v>-16299.513125000001</v>
      </c>
      <c r="Y43" s="736">
        <f t="shared" si="40"/>
        <v>934445.48687499994</v>
      </c>
      <c r="Z43" s="358"/>
      <c r="AA43" s="358"/>
      <c r="AB43" s="358"/>
      <c r="AC43" s="358">
        <f>'Table 5C1A-Madison Prep'!P44</f>
        <v>0</v>
      </c>
      <c r="AD43" s="358">
        <f>'Table 5C1B-DArbonne'!P44</f>
        <v>0</v>
      </c>
      <c r="AE43" s="358">
        <f>'Table 5C1C-Intl_VIBE'!P44</f>
        <v>0</v>
      </c>
      <c r="AF43" s="358">
        <f>'Table 5C1D-NOMMA'!P44</f>
        <v>-217.34</v>
      </c>
      <c r="AG43" s="358">
        <f>'Table 5C1E-LFNO'!R44</f>
        <v>-81.502499999999998</v>
      </c>
      <c r="AH43" s="358">
        <f>'Table 5C1F-Lake Charles Charter'!P44</f>
        <v>0</v>
      </c>
      <c r="AI43" s="358">
        <f>'Table 5C1G-JS Clark Academy'!P44</f>
        <v>0</v>
      </c>
      <c r="AJ43" s="358">
        <f>'Table 5C1H-Southwest LA Charter'!P44</f>
        <v>0</v>
      </c>
      <c r="AK43" s="358">
        <f>'Table 5C1I-LA Key Academy'!P44</f>
        <v>0</v>
      </c>
      <c r="AL43" s="358">
        <f>'Table 5C1J-Jefferson Chamber'!P44</f>
        <v>0</v>
      </c>
      <c r="AM43" s="358">
        <f>'Table 5C1K-Tallulah Charter'!P44</f>
        <v>0</v>
      </c>
      <c r="AN43" s="358">
        <f>'Table 5C1L-Northshore Charter'!P44</f>
        <v>0</v>
      </c>
      <c r="AO43" s="358">
        <f>'Table 5C1M-EBR Charter'!P44</f>
        <v>0</v>
      </c>
      <c r="AP43" s="358">
        <f>'Table 5C1N-Delta Charter'!P44</f>
        <v>0</v>
      </c>
      <c r="AQ43" s="358">
        <f>'Table 5C2 - LA Virtual Admy'!Q41</f>
        <v>-49</v>
      </c>
      <c r="AR43" s="358">
        <f>'Table 5C3 - LA Connections EBR'!Q41</f>
        <v>-147</v>
      </c>
      <c r="AS43" s="736">
        <f t="shared" si="41"/>
        <v>933950.64437500003</v>
      </c>
      <c r="AT43" s="730"/>
      <c r="AV43" s="730"/>
      <c r="AW43" s="730"/>
      <c r="AX43" s="730"/>
      <c r="AZ43"/>
      <c r="BI43"/>
    </row>
    <row r="44" spans="1:61">
      <c r="A44" s="99">
        <v>39</v>
      </c>
      <c r="B44" s="302" t="s">
        <v>131</v>
      </c>
      <c r="C44" s="311">
        <f>'Table 2_State Distrib and Adjs'!V45</f>
        <v>957591</v>
      </c>
      <c r="D44" s="358">
        <f>-'Table 5B2_RSD_LA'!X23</f>
        <v>-79979.25</v>
      </c>
      <c r="E44" s="358"/>
      <c r="F44" s="358">
        <f>-'Table 5C1A-Madison Prep'!T45</f>
        <v>0</v>
      </c>
      <c r="G44" s="358">
        <f>-'Table 5C1B-DArbonne'!T45</f>
        <v>0</v>
      </c>
      <c r="H44" s="358">
        <f>-'Table 5C1C-Intl_VIBE'!T45</f>
        <v>0</v>
      </c>
      <c r="I44" s="358">
        <f>-'Table 5C1D-NOMMA'!T45</f>
        <v>0</v>
      </c>
      <c r="J44" s="358"/>
      <c r="K44" s="358">
        <f>-'Table 5C1E-LFNO'!V45</f>
        <v>0</v>
      </c>
      <c r="L44" s="358">
        <f>-'Table 5C1F-Lake Charles Charter'!T45</f>
        <v>0</v>
      </c>
      <c r="M44" s="358">
        <f>-'Table 5C1G-JS Clark Academy'!T45</f>
        <v>0</v>
      </c>
      <c r="N44" s="358">
        <f>-'Table 5C1H-Southwest LA Charter'!T45</f>
        <v>0</v>
      </c>
      <c r="O44" s="358">
        <f>-'Table 5C1I-LA Key Academy'!T45</f>
        <v>0</v>
      </c>
      <c r="P44" s="358">
        <f>-'Table 5C1J-Jefferson Chamber'!T45</f>
        <v>0</v>
      </c>
      <c r="Q44" s="358">
        <f>-'Table 5C1K-Tallulah Charter'!T45</f>
        <v>0</v>
      </c>
      <c r="R44" s="358">
        <f>-'Table 5C1L-Northshore Charter'!T45</f>
        <v>0</v>
      </c>
      <c r="S44" s="358">
        <f>-'Table 5C1M-EBR Charter'!T45</f>
        <v>0</v>
      </c>
      <c r="T44" s="358">
        <f>-'Table 5C1N-Delta Charter'!T45</f>
        <v>0</v>
      </c>
      <c r="U44" s="358">
        <f>-'Table 5C2 - LA Virtual Admy'!U42</f>
        <v>-672</v>
      </c>
      <c r="V44" s="358">
        <f>-'Table 5C3 - LA Connections EBR'!U42</f>
        <v>-1617</v>
      </c>
      <c r="W44" s="358">
        <f>-'Table 5E_OJJ'!S45</f>
        <v>-1045</v>
      </c>
      <c r="X44" s="1524">
        <f t="shared" si="39"/>
        <v>-83313.25</v>
      </c>
      <c r="Y44" s="736">
        <f t="shared" si="40"/>
        <v>874277.75</v>
      </c>
      <c r="Z44" s="358" t="str">
        <f>'Table 5B2_RSD_LA'!R23</f>
        <v>N/A</v>
      </c>
      <c r="AA44" s="358" t="str">
        <f>'Table 5B2_RSD_LA'!S23</f>
        <v>N/A</v>
      </c>
      <c r="AB44" s="358"/>
      <c r="AC44" s="358">
        <f>'Table 5C1A-Madison Prep'!P45</f>
        <v>0</v>
      </c>
      <c r="AD44" s="358">
        <f>'Table 5C1B-DArbonne'!P45</f>
        <v>0</v>
      </c>
      <c r="AE44" s="358">
        <f>'Table 5C1C-Intl_VIBE'!P45</f>
        <v>0</v>
      </c>
      <c r="AF44" s="358">
        <f>'Table 5C1D-NOMMA'!P45</f>
        <v>0</v>
      </c>
      <c r="AG44" s="358">
        <f>'Table 5C1E-LFNO'!R45</f>
        <v>0</v>
      </c>
      <c r="AH44" s="358">
        <f>'Table 5C1F-Lake Charles Charter'!P45</f>
        <v>0</v>
      </c>
      <c r="AI44" s="358">
        <f>'Table 5C1G-JS Clark Academy'!P45</f>
        <v>0</v>
      </c>
      <c r="AJ44" s="358">
        <f>'Table 5C1H-Southwest LA Charter'!P45</f>
        <v>0</v>
      </c>
      <c r="AK44" s="358">
        <f>'Table 5C1I-LA Key Academy'!P45</f>
        <v>0</v>
      </c>
      <c r="AL44" s="358">
        <f>'Table 5C1J-Jefferson Chamber'!P45</f>
        <v>0</v>
      </c>
      <c r="AM44" s="358">
        <f>'Table 5C1K-Tallulah Charter'!P45</f>
        <v>0</v>
      </c>
      <c r="AN44" s="358">
        <f>'Table 5C1L-Northshore Charter'!P45</f>
        <v>0</v>
      </c>
      <c r="AO44" s="358">
        <f>'Table 5C1M-EBR Charter'!P45</f>
        <v>0</v>
      </c>
      <c r="AP44" s="358">
        <f>'Table 5C1N-Delta Charter'!P45</f>
        <v>0</v>
      </c>
      <c r="AQ44" s="358">
        <f>'Table 5C2 - LA Virtual Admy'!Q42</f>
        <v>-29</v>
      </c>
      <c r="AR44" s="358">
        <f>'Table 5C3 - LA Connections EBR'!Q42</f>
        <v>-49</v>
      </c>
      <c r="AS44" s="736">
        <f t="shared" si="41"/>
        <v>874199.75</v>
      </c>
      <c r="AT44" s="738"/>
      <c r="AV44" s="558"/>
      <c r="AW44" s="558"/>
      <c r="AX44" s="558"/>
      <c r="AZ44"/>
      <c r="BI44"/>
    </row>
    <row r="45" spans="1:61">
      <c r="A45" s="100">
        <v>40</v>
      </c>
      <c r="B45" s="303" t="s">
        <v>132</v>
      </c>
      <c r="C45" s="319">
        <f>'Table 2_State Distrib and Adjs'!V46</f>
        <v>10737864</v>
      </c>
      <c r="D45" s="359"/>
      <c r="E45" s="359"/>
      <c r="F45" s="359">
        <f>-'Table 5C1A-Madison Prep'!T46</f>
        <v>0</v>
      </c>
      <c r="G45" s="359">
        <f>-'Table 5C1B-DArbonne'!T46</f>
        <v>0</v>
      </c>
      <c r="H45" s="359">
        <f>-'Table 5C1C-Intl_VIBE'!T46</f>
        <v>0</v>
      </c>
      <c r="I45" s="359">
        <f>-'Table 5C1D-NOMMA'!T46</f>
        <v>0</v>
      </c>
      <c r="J45" s="359"/>
      <c r="K45" s="359">
        <f>-'Table 5C1E-LFNO'!V46</f>
        <v>0</v>
      </c>
      <c r="L45" s="359">
        <f>-'Table 5C1F-Lake Charles Charter'!T46</f>
        <v>0</v>
      </c>
      <c r="M45" s="359">
        <f>-'Table 5C1G-JS Clark Academy'!T46</f>
        <v>0</v>
      </c>
      <c r="N45" s="359">
        <f>-'Table 5C1H-Southwest LA Charter'!T46</f>
        <v>0</v>
      </c>
      <c r="O45" s="359">
        <f>-'Table 5C1I-LA Key Academy'!T46</f>
        <v>0</v>
      </c>
      <c r="P45" s="359">
        <f>-'Table 5C1J-Jefferson Chamber'!T46</f>
        <v>0</v>
      </c>
      <c r="Q45" s="359">
        <f>-'Table 5C1K-Tallulah Charter'!T46</f>
        <v>0</v>
      </c>
      <c r="R45" s="359">
        <f>-'Table 5C1L-Northshore Charter'!T46</f>
        <v>0</v>
      </c>
      <c r="S45" s="359">
        <f>-'Table 5C1M-EBR Charter'!T46</f>
        <v>0</v>
      </c>
      <c r="T45" s="359">
        <f>-'Table 5C1N-Delta Charter'!T46</f>
        <v>0</v>
      </c>
      <c r="U45" s="359">
        <f>-'Table 5C2 - LA Virtual Admy'!U43</f>
        <v>-6138</v>
      </c>
      <c r="V45" s="359">
        <f>-'Table 5C3 - LA Connections EBR'!U43</f>
        <v>-6074</v>
      </c>
      <c r="W45" s="359">
        <f>-'Table 5E_OJJ'!S46</f>
        <v>-1670</v>
      </c>
      <c r="X45" s="359">
        <f t="shared" si="39"/>
        <v>-13882</v>
      </c>
      <c r="Y45" s="737">
        <f t="shared" si="40"/>
        <v>10723982</v>
      </c>
      <c r="Z45" s="359"/>
      <c r="AA45" s="359"/>
      <c r="AB45" s="359"/>
      <c r="AC45" s="359">
        <f>'Table 5C1A-Madison Prep'!P46</f>
        <v>0</v>
      </c>
      <c r="AD45" s="359">
        <f>'Table 5C1B-DArbonne'!P46</f>
        <v>0</v>
      </c>
      <c r="AE45" s="359">
        <f>'Table 5C1C-Intl_VIBE'!P46</f>
        <v>0</v>
      </c>
      <c r="AF45" s="359">
        <f>'Table 5C1D-NOMMA'!P46</f>
        <v>0</v>
      </c>
      <c r="AG45" s="359">
        <f>'Table 5C1E-LFNO'!R46</f>
        <v>0</v>
      </c>
      <c r="AH45" s="359">
        <f>'Table 5C1F-Lake Charles Charter'!P46</f>
        <v>0</v>
      </c>
      <c r="AI45" s="359">
        <f>'Table 5C1G-JS Clark Academy'!P46</f>
        <v>0</v>
      </c>
      <c r="AJ45" s="359">
        <f>'Table 5C1H-Southwest LA Charter'!P46</f>
        <v>0</v>
      </c>
      <c r="AK45" s="359">
        <f>'Table 5C1I-LA Key Academy'!P46</f>
        <v>0</v>
      </c>
      <c r="AL45" s="359">
        <f>'Table 5C1J-Jefferson Chamber'!P46</f>
        <v>0</v>
      </c>
      <c r="AM45" s="359">
        <f>'Table 5C1K-Tallulah Charter'!P46</f>
        <v>0</v>
      </c>
      <c r="AN45" s="359">
        <f>'Table 5C1L-Northshore Charter'!P46</f>
        <v>0</v>
      </c>
      <c r="AO45" s="359">
        <f>'Table 5C1M-EBR Charter'!P46</f>
        <v>0</v>
      </c>
      <c r="AP45" s="359">
        <f>'Table 5C1N-Delta Charter'!P46</f>
        <v>0</v>
      </c>
      <c r="AQ45" s="359">
        <f>'Table 5C2 - LA Virtual Admy'!Q43</f>
        <v>-217</v>
      </c>
      <c r="AR45" s="359">
        <f>'Table 5C3 - LA Connections EBR'!Q43</f>
        <v>-183</v>
      </c>
      <c r="AS45" s="737">
        <f t="shared" si="41"/>
        <v>10723582</v>
      </c>
      <c r="AT45" s="47"/>
      <c r="AZ45"/>
      <c r="BI45"/>
    </row>
    <row r="46" spans="1:61">
      <c r="A46" s="99">
        <v>41</v>
      </c>
      <c r="B46" s="302" t="s">
        <v>133</v>
      </c>
      <c r="C46" s="311">
        <f>'Table 2_State Distrib and Adjs'!V47</f>
        <v>293756</v>
      </c>
      <c r="D46" s="358"/>
      <c r="E46" s="358"/>
      <c r="F46" s="358">
        <f>-'Table 5C1A-Madison Prep'!T47</f>
        <v>0</v>
      </c>
      <c r="G46" s="358">
        <f>-'Table 5C1B-DArbonne'!T47</f>
        <v>0</v>
      </c>
      <c r="H46" s="358">
        <f>-'Table 5C1C-Intl_VIBE'!T47</f>
        <v>0</v>
      </c>
      <c r="I46" s="358">
        <f>-'Table 5C1D-NOMMA'!T47</f>
        <v>0</v>
      </c>
      <c r="J46" s="358"/>
      <c r="K46" s="358">
        <f>-'Table 5C1E-LFNO'!V47</f>
        <v>0</v>
      </c>
      <c r="L46" s="358">
        <f>-'Table 5C1F-Lake Charles Charter'!T47</f>
        <v>0</v>
      </c>
      <c r="M46" s="358">
        <f>-'Table 5C1G-JS Clark Academy'!T47</f>
        <v>0</v>
      </c>
      <c r="N46" s="358">
        <f>-'Table 5C1H-Southwest LA Charter'!T47</f>
        <v>0</v>
      </c>
      <c r="O46" s="358">
        <f>-'Table 5C1I-LA Key Academy'!T47</f>
        <v>0</v>
      </c>
      <c r="P46" s="358">
        <f>-'Table 5C1J-Jefferson Chamber'!T47</f>
        <v>0</v>
      </c>
      <c r="Q46" s="358">
        <f>-'Table 5C1K-Tallulah Charter'!T47</f>
        <v>0</v>
      </c>
      <c r="R46" s="358">
        <f>-'Table 5C1L-Northshore Charter'!T47</f>
        <v>0</v>
      </c>
      <c r="S46" s="358">
        <f>-'Table 5C1M-EBR Charter'!T47</f>
        <v>0</v>
      </c>
      <c r="T46" s="358">
        <f>-'Table 5C1N-Delta Charter'!T47</f>
        <v>0</v>
      </c>
      <c r="U46" s="358">
        <f>-'Table 5C2 - LA Virtual Admy'!U44</f>
        <v>-680</v>
      </c>
      <c r="V46" s="358">
        <f>-'Table 5C3 - LA Connections EBR'!U44</f>
        <v>-680</v>
      </c>
      <c r="W46" s="358">
        <f>-'Table 5E_OJJ'!S47</f>
        <v>0</v>
      </c>
      <c r="X46" s="1524">
        <f t="shared" si="39"/>
        <v>-1360</v>
      </c>
      <c r="Y46" s="736">
        <f t="shared" si="40"/>
        <v>292396</v>
      </c>
      <c r="Z46" s="358"/>
      <c r="AA46" s="358"/>
      <c r="AB46" s="358"/>
      <c r="AC46" s="358">
        <f>'Table 5C1A-Madison Prep'!P47</f>
        <v>0</v>
      </c>
      <c r="AD46" s="358">
        <f>'Table 5C1B-DArbonne'!P47</f>
        <v>0</v>
      </c>
      <c r="AE46" s="358">
        <f>'Table 5C1C-Intl_VIBE'!P47</f>
        <v>0</v>
      </c>
      <c r="AF46" s="358">
        <f>'Table 5C1D-NOMMA'!P47</f>
        <v>0</v>
      </c>
      <c r="AG46" s="358">
        <f>'Table 5C1E-LFNO'!R47</f>
        <v>0</v>
      </c>
      <c r="AH46" s="358">
        <f>'Table 5C1F-Lake Charles Charter'!P47</f>
        <v>0</v>
      </c>
      <c r="AI46" s="358">
        <f>'Table 5C1G-JS Clark Academy'!P47</f>
        <v>0</v>
      </c>
      <c r="AJ46" s="358">
        <f>'Table 5C1H-Southwest LA Charter'!P47</f>
        <v>0</v>
      </c>
      <c r="AK46" s="358">
        <f>'Table 5C1I-LA Key Academy'!P47</f>
        <v>0</v>
      </c>
      <c r="AL46" s="358">
        <f>'Table 5C1J-Jefferson Chamber'!P47</f>
        <v>0</v>
      </c>
      <c r="AM46" s="358">
        <f>'Table 5C1K-Tallulah Charter'!P47</f>
        <v>0</v>
      </c>
      <c r="AN46" s="358">
        <f>'Table 5C1L-Northshore Charter'!P47</f>
        <v>0</v>
      </c>
      <c r="AO46" s="358">
        <f>'Table 5C1M-EBR Charter'!P47</f>
        <v>0</v>
      </c>
      <c r="AP46" s="358">
        <f>'Table 5C1N-Delta Charter'!P47</f>
        <v>0</v>
      </c>
      <c r="AQ46" s="358">
        <f>'Table 5C2 - LA Virtual Admy'!Q44</f>
        <v>-20</v>
      </c>
      <c r="AR46" s="358">
        <f>'Table 5C3 - LA Connections EBR'!Q44</f>
        <v>-20</v>
      </c>
      <c r="AS46" s="736">
        <f t="shared" si="41"/>
        <v>292356</v>
      </c>
      <c r="AT46" s="47"/>
      <c r="AZ46"/>
      <c r="BI46"/>
    </row>
    <row r="47" spans="1:61">
      <c r="A47" s="99">
        <v>42</v>
      </c>
      <c r="B47" s="302" t="s">
        <v>134</v>
      </c>
      <c r="C47" s="311">
        <f>'Table 2_State Distrib and Adjs'!V48</f>
        <v>1605226</v>
      </c>
      <c r="D47" s="358"/>
      <c r="E47" s="358"/>
      <c r="F47" s="358">
        <f>-'Table 5C1A-Madison Prep'!T48</f>
        <v>0</v>
      </c>
      <c r="G47" s="358">
        <f>-'Table 5C1B-DArbonne'!T48</f>
        <v>0</v>
      </c>
      <c r="H47" s="358">
        <f>-'Table 5C1C-Intl_VIBE'!T48</f>
        <v>0</v>
      </c>
      <c r="I47" s="358">
        <f>-'Table 5C1D-NOMMA'!T48</f>
        <v>0</v>
      </c>
      <c r="J47" s="358"/>
      <c r="K47" s="358">
        <f>-'Table 5C1E-LFNO'!V48</f>
        <v>0</v>
      </c>
      <c r="L47" s="358">
        <f>-'Table 5C1F-Lake Charles Charter'!T48</f>
        <v>0</v>
      </c>
      <c r="M47" s="358">
        <f>-'Table 5C1G-JS Clark Academy'!T48</f>
        <v>0</v>
      </c>
      <c r="N47" s="358">
        <f>-'Table 5C1H-Southwest LA Charter'!T48</f>
        <v>0</v>
      </c>
      <c r="O47" s="358">
        <f>-'Table 5C1I-LA Key Academy'!T48</f>
        <v>0</v>
      </c>
      <c r="P47" s="358">
        <f>-'Table 5C1J-Jefferson Chamber'!T48</f>
        <v>0</v>
      </c>
      <c r="Q47" s="358">
        <f>-'Table 5C1K-Tallulah Charter'!T48</f>
        <v>0</v>
      </c>
      <c r="R47" s="358">
        <f>-'Table 5C1L-Northshore Charter'!T48</f>
        <v>0</v>
      </c>
      <c r="S47" s="358">
        <f>-'Table 5C1M-EBR Charter'!T48</f>
        <v>0</v>
      </c>
      <c r="T47" s="358">
        <f>-'Table 5C1N-Delta Charter'!T48</f>
        <v>0</v>
      </c>
      <c r="U47" s="358">
        <f>-'Table 5C2 - LA Virtual Admy'!U45</f>
        <v>-1501</v>
      </c>
      <c r="V47" s="358">
        <f>-'Table 5C3 - LA Connections EBR'!U45</f>
        <v>-1072</v>
      </c>
      <c r="W47" s="358">
        <f>-'Table 5E_OJJ'!S48</f>
        <v>-158</v>
      </c>
      <c r="X47" s="1524">
        <f t="shared" si="39"/>
        <v>-2731</v>
      </c>
      <c r="Y47" s="736">
        <f t="shared" si="40"/>
        <v>1602495</v>
      </c>
      <c r="Z47" s="358"/>
      <c r="AA47" s="358"/>
      <c r="AB47" s="358"/>
      <c r="AC47" s="358">
        <f>'Table 5C1A-Madison Prep'!P48</f>
        <v>0</v>
      </c>
      <c r="AD47" s="358">
        <f>'Table 5C1B-DArbonne'!P48</f>
        <v>0</v>
      </c>
      <c r="AE47" s="358">
        <f>'Table 5C1C-Intl_VIBE'!P48</f>
        <v>0</v>
      </c>
      <c r="AF47" s="358">
        <f>'Table 5C1D-NOMMA'!P48</f>
        <v>0</v>
      </c>
      <c r="AG47" s="358">
        <f>'Table 5C1E-LFNO'!R48</f>
        <v>0</v>
      </c>
      <c r="AH47" s="358">
        <f>'Table 5C1F-Lake Charles Charter'!P48</f>
        <v>0</v>
      </c>
      <c r="AI47" s="358">
        <f>'Table 5C1G-JS Clark Academy'!P48</f>
        <v>0</v>
      </c>
      <c r="AJ47" s="358">
        <f>'Table 5C1H-Southwest LA Charter'!P48</f>
        <v>0</v>
      </c>
      <c r="AK47" s="358">
        <f>'Table 5C1I-LA Key Academy'!P48</f>
        <v>0</v>
      </c>
      <c r="AL47" s="358">
        <f>'Table 5C1J-Jefferson Chamber'!P48</f>
        <v>0</v>
      </c>
      <c r="AM47" s="358">
        <f>'Table 5C1K-Tallulah Charter'!P48</f>
        <v>0</v>
      </c>
      <c r="AN47" s="358">
        <f>'Table 5C1L-Northshore Charter'!P48</f>
        <v>0</v>
      </c>
      <c r="AO47" s="358">
        <f>'Table 5C1M-EBR Charter'!P48</f>
        <v>0</v>
      </c>
      <c r="AP47" s="358">
        <f>'Table 5C1N-Delta Charter'!P48</f>
        <v>0</v>
      </c>
      <c r="AQ47" s="358">
        <f>'Table 5C2 - LA Virtual Admy'!Q45</f>
        <v>-45</v>
      </c>
      <c r="AR47" s="358">
        <f>'Table 5C3 - LA Connections EBR'!Q45</f>
        <v>-32</v>
      </c>
      <c r="AS47" s="736">
        <f t="shared" si="41"/>
        <v>1602418</v>
      </c>
      <c r="AT47" s="47"/>
      <c r="AZ47"/>
      <c r="BI47"/>
    </row>
    <row r="48" spans="1:61">
      <c r="A48" s="99">
        <v>43</v>
      </c>
      <c r="B48" s="302" t="s">
        <v>135</v>
      </c>
      <c r="C48" s="311">
        <f>'Table 2_State Distrib and Adjs'!V49</f>
        <v>1769002</v>
      </c>
      <c r="D48" s="358"/>
      <c r="E48" s="358"/>
      <c r="F48" s="358">
        <f>-'Table 5C1A-Madison Prep'!T49</f>
        <v>0</v>
      </c>
      <c r="G48" s="358">
        <f>-'Table 5C1B-DArbonne'!T49</f>
        <v>0</v>
      </c>
      <c r="H48" s="358">
        <f>-'Table 5C1C-Intl_VIBE'!T49</f>
        <v>0</v>
      </c>
      <c r="I48" s="358">
        <f>-'Table 5C1D-NOMMA'!T49</f>
        <v>0</v>
      </c>
      <c r="J48" s="358"/>
      <c r="K48" s="358">
        <f>-'Table 5C1E-LFNO'!V49</f>
        <v>0</v>
      </c>
      <c r="L48" s="358">
        <f>-'Table 5C1F-Lake Charles Charter'!T49</f>
        <v>0</v>
      </c>
      <c r="M48" s="358">
        <f>-'Table 5C1G-JS Clark Academy'!T49</f>
        <v>0</v>
      </c>
      <c r="N48" s="358">
        <f>-'Table 5C1H-Southwest LA Charter'!T49</f>
        <v>0</v>
      </c>
      <c r="O48" s="358">
        <f>-'Table 5C1I-LA Key Academy'!T49</f>
        <v>0</v>
      </c>
      <c r="P48" s="358">
        <f>-'Table 5C1J-Jefferson Chamber'!T49</f>
        <v>0</v>
      </c>
      <c r="Q48" s="358">
        <f>-'Table 5C1K-Tallulah Charter'!T49</f>
        <v>0</v>
      </c>
      <c r="R48" s="358">
        <f>-'Table 5C1L-Northshore Charter'!T49</f>
        <v>0</v>
      </c>
      <c r="S48" s="358">
        <f>-'Table 5C1M-EBR Charter'!T49</f>
        <v>0</v>
      </c>
      <c r="T48" s="358">
        <f>-'Table 5C1N-Delta Charter'!T49</f>
        <v>0</v>
      </c>
      <c r="U48" s="358">
        <f>-'Table 5C2 - LA Virtual Admy'!U46</f>
        <v>-2209</v>
      </c>
      <c r="V48" s="358">
        <f>-'Table 5C3 - LA Connections EBR'!U46</f>
        <v>-1610</v>
      </c>
      <c r="W48" s="358">
        <f>-'Table 5E_OJJ'!S49</f>
        <v>-741</v>
      </c>
      <c r="X48" s="1524">
        <f t="shared" si="39"/>
        <v>-4560</v>
      </c>
      <c r="Y48" s="736">
        <f t="shared" si="40"/>
        <v>1764442</v>
      </c>
      <c r="Z48" s="358"/>
      <c r="AA48" s="358"/>
      <c r="AB48" s="358"/>
      <c r="AC48" s="358">
        <f>'Table 5C1A-Madison Prep'!P49</f>
        <v>0</v>
      </c>
      <c r="AD48" s="358">
        <f>'Table 5C1B-DArbonne'!P49</f>
        <v>0</v>
      </c>
      <c r="AE48" s="358">
        <f>'Table 5C1C-Intl_VIBE'!P49</f>
        <v>0</v>
      </c>
      <c r="AF48" s="358">
        <f>'Table 5C1D-NOMMA'!P49</f>
        <v>0</v>
      </c>
      <c r="AG48" s="358">
        <f>'Table 5C1E-LFNO'!R49</f>
        <v>0</v>
      </c>
      <c r="AH48" s="358">
        <f>'Table 5C1F-Lake Charles Charter'!P49</f>
        <v>0</v>
      </c>
      <c r="AI48" s="358">
        <f>'Table 5C1G-JS Clark Academy'!P49</f>
        <v>0</v>
      </c>
      <c r="AJ48" s="358">
        <f>'Table 5C1H-Southwest LA Charter'!P49</f>
        <v>0</v>
      </c>
      <c r="AK48" s="358">
        <f>'Table 5C1I-LA Key Academy'!P49</f>
        <v>0</v>
      </c>
      <c r="AL48" s="358">
        <f>'Table 5C1J-Jefferson Chamber'!P49</f>
        <v>0</v>
      </c>
      <c r="AM48" s="358">
        <f>'Table 5C1K-Tallulah Charter'!P49</f>
        <v>0</v>
      </c>
      <c r="AN48" s="358">
        <f>'Table 5C1L-Northshore Charter'!P49</f>
        <v>0</v>
      </c>
      <c r="AO48" s="358">
        <f>'Table 5C1M-EBR Charter'!P49</f>
        <v>0</v>
      </c>
      <c r="AP48" s="358">
        <f>'Table 5C1N-Delta Charter'!P49</f>
        <v>0</v>
      </c>
      <c r="AQ48" s="358">
        <f>'Table 5C2 - LA Virtual Admy'!Q46</f>
        <v>-48</v>
      </c>
      <c r="AR48" s="358">
        <f>'Table 5C3 - LA Connections EBR'!Q46</f>
        <v>-48</v>
      </c>
      <c r="AS48" s="736">
        <f t="shared" si="41"/>
        <v>1764346</v>
      </c>
      <c r="AT48" s="47"/>
      <c r="AZ48"/>
      <c r="BI48"/>
    </row>
    <row r="49" spans="1:61">
      <c r="A49" s="99">
        <v>44</v>
      </c>
      <c r="B49" s="302" t="s">
        <v>136</v>
      </c>
      <c r="C49" s="311">
        <f>'Table 2_State Distrib and Adjs'!V50</f>
        <v>2840286</v>
      </c>
      <c r="D49" s="358"/>
      <c r="E49" s="358"/>
      <c r="F49" s="358">
        <f>-'Table 5C1A-Madison Prep'!T50</f>
        <v>0</v>
      </c>
      <c r="G49" s="358">
        <f>-'Table 5C1B-DArbonne'!T50</f>
        <v>0</v>
      </c>
      <c r="H49" s="358">
        <f>-'Table 5C1C-Intl_VIBE'!T50</f>
        <v>-1516.5325</v>
      </c>
      <c r="I49" s="358">
        <f>-'Table 5C1D-NOMMA'!T50</f>
        <v>-758.26625000000001</v>
      </c>
      <c r="J49" s="358"/>
      <c r="K49" s="358">
        <f>-'Table 5C1E-LFNO'!V50</f>
        <v>-758.26625000000001</v>
      </c>
      <c r="L49" s="358">
        <f>-'Table 5C1F-Lake Charles Charter'!T50</f>
        <v>0</v>
      </c>
      <c r="M49" s="358">
        <f>-'Table 5C1G-JS Clark Academy'!T50</f>
        <v>0</v>
      </c>
      <c r="N49" s="358">
        <f>-'Table 5C1H-Southwest LA Charter'!T50</f>
        <v>0</v>
      </c>
      <c r="O49" s="358">
        <f>-'Table 5C1I-LA Key Academy'!T50</f>
        <v>0</v>
      </c>
      <c r="P49" s="358">
        <f>-'Table 5C1J-Jefferson Chamber'!T50</f>
        <v>-1137.399375</v>
      </c>
      <c r="Q49" s="358">
        <f>-'Table 5C1K-Tallulah Charter'!T50</f>
        <v>0</v>
      </c>
      <c r="R49" s="358">
        <f>-'Table 5C1L-Northshore Charter'!T50</f>
        <v>0</v>
      </c>
      <c r="S49" s="358">
        <f>-'Table 5C1M-EBR Charter'!T50</f>
        <v>0</v>
      </c>
      <c r="T49" s="358">
        <f>-'Table 5C1N-Delta Charter'!T50</f>
        <v>0</v>
      </c>
      <c r="U49" s="358">
        <f>-'Table 5C2 - LA Virtual Admy'!U47</f>
        <v>-1218</v>
      </c>
      <c r="V49" s="358">
        <f>-'Table 5C3 - LA Connections EBR'!U47</f>
        <v>-3071</v>
      </c>
      <c r="W49" s="358">
        <f>-'Table 5E_OJJ'!S50</f>
        <v>-38</v>
      </c>
      <c r="X49" s="1524">
        <f t="shared" si="39"/>
        <v>-8497.4643749999996</v>
      </c>
      <c r="Y49" s="736">
        <f t="shared" si="40"/>
        <v>2831788.535625</v>
      </c>
      <c r="Z49" s="358"/>
      <c r="AA49" s="358"/>
      <c r="AB49" s="358"/>
      <c r="AC49" s="358">
        <f>'Table 5C1A-Madison Prep'!P50</f>
        <v>0</v>
      </c>
      <c r="AD49" s="358">
        <f>'Table 5C1B-DArbonne'!P50</f>
        <v>0</v>
      </c>
      <c r="AE49" s="358">
        <f>'Table 5C1C-Intl_VIBE'!P50</f>
        <v>-45.61</v>
      </c>
      <c r="AF49" s="358">
        <f>'Table 5C1D-NOMMA'!P50</f>
        <v>-22.805</v>
      </c>
      <c r="AG49" s="358">
        <f>'Table 5C1E-LFNO'!R50</f>
        <v>-22.805</v>
      </c>
      <c r="AH49" s="358">
        <f>'Table 5C1F-Lake Charles Charter'!P50</f>
        <v>0</v>
      </c>
      <c r="AI49" s="358">
        <f>'Table 5C1G-JS Clark Academy'!P50</f>
        <v>0</v>
      </c>
      <c r="AJ49" s="358">
        <f>'Table 5C1H-Southwest LA Charter'!P50</f>
        <v>0</v>
      </c>
      <c r="AK49" s="358">
        <f>'Table 5C1I-LA Key Academy'!P50</f>
        <v>0</v>
      </c>
      <c r="AL49" s="358">
        <f>'Table 5C1J-Jefferson Chamber'!P50</f>
        <v>-34.207500000000003</v>
      </c>
      <c r="AM49" s="358">
        <f>'Table 5C1K-Tallulah Charter'!P50</f>
        <v>0</v>
      </c>
      <c r="AN49" s="358">
        <f>'Table 5C1L-Northshore Charter'!P50</f>
        <v>0</v>
      </c>
      <c r="AO49" s="358">
        <f>'Table 5C1M-EBR Charter'!P50</f>
        <v>0</v>
      </c>
      <c r="AP49" s="358">
        <f>'Table 5C1N-Delta Charter'!P50</f>
        <v>0</v>
      </c>
      <c r="AQ49" s="358">
        <f>'Table 5C2 - LA Virtual Admy'!Q47</f>
        <v>-31</v>
      </c>
      <c r="AR49" s="358">
        <f>'Table 5C3 - LA Connections EBR'!Q47</f>
        <v>-92</v>
      </c>
      <c r="AS49" s="736">
        <f t="shared" si="41"/>
        <v>2831540.1081249998</v>
      </c>
      <c r="AT49" s="47"/>
      <c r="AZ49"/>
      <c r="BI49"/>
    </row>
    <row r="50" spans="1:61">
      <c r="A50" s="100">
        <v>45</v>
      </c>
      <c r="B50" s="303" t="s">
        <v>137</v>
      </c>
      <c r="C50" s="319">
        <f>'Table 2_State Distrib and Adjs'!V51</f>
        <v>2321313</v>
      </c>
      <c r="D50" s="359"/>
      <c r="E50" s="359"/>
      <c r="F50" s="359">
        <f>-'Table 5C1A-Madison Prep'!T51</f>
        <v>0</v>
      </c>
      <c r="G50" s="359">
        <f>-'Table 5C1B-DArbonne'!T51</f>
        <v>0</v>
      </c>
      <c r="H50" s="359">
        <f>-'Table 5C1C-Intl_VIBE'!T51</f>
        <v>-1876.4637499999999</v>
      </c>
      <c r="I50" s="359">
        <f>-'Table 5C1D-NOMMA'!T51</f>
        <v>0</v>
      </c>
      <c r="J50" s="359"/>
      <c r="K50" s="359">
        <f>-'Table 5C1E-LFNO'!V51</f>
        <v>-938.23187499999995</v>
      </c>
      <c r="L50" s="359">
        <f>-'Table 5C1F-Lake Charles Charter'!T51</f>
        <v>0</v>
      </c>
      <c r="M50" s="359">
        <f>-'Table 5C1G-JS Clark Academy'!T51</f>
        <v>0</v>
      </c>
      <c r="N50" s="359">
        <f>-'Table 5C1H-Southwest LA Charter'!T51</f>
        <v>0</v>
      </c>
      <c r="O50" s="359">
        <f>-'Table 5C1I-LA Key Academy'!T51</f>
        <v>0</v>
      </c>
      <c r="P50" s="359">
        <f>-'Table 5C1J-Jefferson Chamber'!T51</f>
        <v>-1876.4637499999999</v>
      </c>
      <c r="Q50" s="359">
        <f>-'Table 5C1K-Tallulah Charter'!T51</f>
        <v>0</v>
      </c>
      <c r="R50" s="359">
        <f>-'Table 5C1L-Northshore Charter'!T51</f>
        <v>0</v>
      </c>
      <c r="S50" s="359">
        <f>-'Table 5C1M-EBR Charter'!T51</f>
        <v>0</v>
      </c>
      <c r="T50" s="359">
        <f>-'Table 5C1N-Delta Charter'!T51</f>
        <v>0</v>
      </c>
      <c r="U50" s="359">
        <f>-'Table 5C2 - LA Virtual Admy'!U48</f>
        <v>-1689</v>
      </c>
      <c r="V50" s="359">
        <f>-'Table 5C3 - LA Connections EBR'!U48</f>
        <v>-16044</v>
      </c>
      <c r="W50" s="359">
        <f>-'Table 5E_OJJ'!S51</f>
        <v>-938</v>
      </c>
      <c r="X50" s="359">
        <f t="shared" si="39"/>
        <v>-23362.159374999999</v>
      </c>
      <c r="Y50" s="737">
        <f t="shared" si="40"/>
        <v>2297950.8406250002</v>
      </c>
      <c r="Z50" s="359"/>
      <c r="AA50" s="359"/>
      <c r="AB50" s="359"/>
      <c r="AC50" s="359">
        <f>'Table 5C1A-Madison Prep'!P51</f>
        <v>0</v>
      </c>
      <c r="AD50" s="359">
        <f>'Table 5C1B-DArbonne'!P51</f>
        <v>0</v>
      </c>
      <c r="AE50" s="1107">
        <f>'Table 5C1C-Intl_VIBE'!P51</f>
        <v>-56.435000000000002</v>
      </c>
      <c r="AF50" s="359">
        <f>'Table 5C1D-NOMMA'!P51</f>
        <v>0</v>
      </c>
      <c r="AG50" s="359">
        <f>'Table 5C1E-LFNO'!R51</f>
        <v>-28.217500000000001</v>
      </c>
      <c r="AH50" s="359">
        <f>'Table 5C1F-Lake Charles Charter'!P51</f>
        <v>0</v>
      </c>
      <c r="AI50" s="359">
        <f>'Table 5C1G-JS Clark Academy'!P51</f>
        <v>0</v>
      </c>
      <c r="AJ50" s="359">
        <f>'Table 5C1H-Southwest LA Charter'!P51</f>
        <v>0</v>
      </c>
      <c r="AK50" s="359">
        <f>'Table 5C1I-LA Key Academy'!P51</f>
        <v>0</v>
      </c>
      <c r="AL50" s="359">
        <f>'Table 5C1J-Jefferson Chamber'!P51</f>
        <v>-56.435000000000002</v>
      </c>
      <c r="AM50" s="359">
        <f>'Table 5C1K-Tallulah Charter'!P51</f>
        <v>0</v>
      </c>
      <c r="AN50" s="359">
        <f>'Table 5C1L-Northshore Charter'!P51</f>
        <v>0</v>
      </c>
      <c r="AO50" s="359">
        <f>'Table 5C1M-EBR Charter'!P51</f>
        <v>0</v>
      </c>
      <c r="AP50" s="359">
        <f>'Table 5C1N-Delta Charter'!P51</f>
        <v>0</v>
      </c>
      <c r="AQ50" s="359">
        <f>'Table 5C2 - LA Virtual Admy'!Q48</f>
        <v>-51</v>
      </c>
      <c r="AR50" s="359">
        <f>'Table 5C3 - LA Connections EBR'!Q48</f>
        <v>-483</v>
      </c>
      <c r="AS50" s="737">
        <f t="shared" si="41"/>
        <v>2297275.7531250003</v>
      </c>
      <c r="AT50" s="47"/>
      <c r="AZ50"/>
      <c r="BI50"/>
    </row>
    <row r="51" spans="1:61">
      <c r="A51" s="99">
        <v>46</v>
      </c>
      <c r="B51" s="302" t="s">
        <v>138</v>
      </c>
      <c r="C51" s="311">
        <f>'Table 2_State Distrib and Adjs'!V52</f>
        <v>389399</v>
      </c>
      <c r="D51" s="358">
        <f>-'Table 5B2_RSD_LA'!X35</f>
        <v>-41924.416666666664</v>
      </c>
      <c r="E51" s="358"/>
      <c r="F51" s="358">
        <f>-'Table 5C1A-Madison Prep'!T52</f>
        <v>0</v>
      </c>
      <c r="G51" s="358">
        <f>-'Table 5C1B-DArbonne'!T52</f>
        <v>0</v>
      </c>
      <c r="H51" s="358">
        <f>-'Table 5C1C-Intl_VIBE'!T52</f>
        <v>0</v>
      </c>
      <c r="I51" s="358">
        <f>-'Table 5C1D-NOMMA'!T52</f>
        <v>0</v>
      </c>
      <c r="J51" s="358"/>
      <c r="K51" s="358">
        <f>-'Table 5C1E-LFNO'!V52</f>
        <v>0</v>
      </c>
      <c r="L51" s="358">
        <f>-'Table 5C1F-Lake Charles Charter'!T52</f>
        <v>0</v>
      </c>
      <c r="M51" s="358">
        <f>-'Table 5C1G-JS Clark Academy'!T52</f>
        <v>0</v>
      </c>
      <c r="N51" s="358">
        <f>-'Table 5C1H-Southwest LA Charter'!T52</f>
        <v>0</v>
      </c>
      <c r="O51" s="358">
        <f>-'Table 5C1I-LA Key Academy'!T52</f>
        <v>0</v>
      </c>
      <c r="P51" s="358">
        <f>-'Table 5C1J-Jefferson Chamber'!T52</f>
        <v>0</v>
      </c>
      <c r="Q51" s="358">
        <f>-'Table 5C1K-Tallulah Charter'!T52</f>
        <v>0</v>
      </c>
      <c r="R51" s="358">
        <f>-'Table 5C1L-Northshore Charter'!T52</f>
        <v>0</v>
      </c>
      <c r="S51" s="358">
        <f>-'Table 5C1M-EBR Charter'!T52</f>
        <v>0</v>
      </c>
      <c r="T51" s="358">
        <f>-'Table 5C1N-Delta Charter'!T52</f>
        <v>0</v>
      </c>
      <c r="U51" s="358">
        <f>-'Table 5C2 - LA Virtual Admy'!U49</f>
        <v>-1381</v>
      </c>
      <c r="V51" s="358">
        <f>-'Table 5C3 - LA Connections EBR'!U49</f>
        <v>-804</v>
      </c>
      <c r="W51" s="358">
        <f>-'Table 5E_OJJ'!S52</f>
        <v>0</v>
      </c>
      <c r="X51" s="1524">
        <f t="shared" si="39"/>
        <v>-44109.416666666664</v>
      </c>
      <c r="Y51" s="736">
        <f t="shared" si="40"/>
        <v>345289.58333333331</v>
      </c>
      <c r="Z51" s="358"/>
      <c r="AA51" s="358"/>
      <c r="AB51" s="358"/>
      <c r="AC51" s="358">
        <f>'Table 5C1A-Madison Prep'!P52</f>
        <v>0</v>
      </c>
      <c r="AD51" s="358">
        <f>'Table 5C1B-DArbonne'!P52</f>
        <v>0</v>
      </c>
      <c r="AE51" s="358">
        <f>'Table 5C1C-Intl_VIBE'!P52</f>
        <v>0</v>
      </c>
      <c r="AF51" s="358">
        <f>'Table 5C1D-NOMMA'!P52</f>
        <v>0</v>
      </c>
      <c r="AG51" s="358">
        <f>'Table 5C1E-LFNO'!R52</f>
        <v>0</v>
      </c>
      <c r="AH51" s="358">
        <f>'Table 5C1F-Lake Charles Charter'!P52</f>
        <v>0</v>
      </c>
      <c r="AI51" s="358">
        <f>'Table 5C1G-JS Clark Academy'!P52</f>
        <v>0</v>
      </c>
      <c r="AJ51" s="358">
        <f>'Table 5C1H-Southwest LA Charter'!P52</f>
        <v>0</v>
      </c>
      <c r="AK51" s="358">
        <f>'Table 5C1I-LA Key Academy'!P52</f>
        <v>0</v>
      </c>
      <c r="AL51" s="358">
        <f>'Table 5C1J-Jefferson Chamber'!P52</f>
        <v>0</v>
      </c>
      <c r="AM51" s="358">
        <f>'Table 5C1K-Tallulah Charter'!P52</f>
        <v>0</v>
      </c>
      <c r="AN51" s="358">
        <f>'Table 5C1L-Northshore Charter'!P52</f>
        <v>0</v>
      </c>
      <c r="AO51" s="358">
        <f>'Table 5C1M-EBR Charter'!P52</f>
        <v>0</v>
      </c>
      <c r="AP51" s="358">
        <f>'Table 5C1N-Delta Charter'!P52</f>
        <v>0</v>
      </c>
      <c r="AQ51" s="358">
        <f>'Table 5C2 - LA Virtual Admy'!Q49</f>
        <v>-44</v>
      </c>
      <c r="AR51" s="358">
        <f>'Table 5C3 - LA Connections EBR'!Q49</f>
        <v>-24</v>
      </c>
      <c r="AS51" s="736">
        <f t="shared" si="41"/>
        <v>345221.58333333331</v>
      </c>
      <c r="AT51" s="47"/>
      <c r="AZ51"/>
      <c r="BI51"/>
    </row>
    <row r="52" spans="1:61">
      <c r="A52" s="99">
        <v>47</v>
      </c>
      <c r="B52" s="302" t="s">
        <v>139</v>
      </c>
      <c r="C52" s="311">
        <f>'Table 2_State Distrib and Adjs'!V53</f>
        <v>1097974</v>
      </c>
      <c r="D52" s="358"/>
      <c r="E52" s="358"/>
      <c r="F52" s="358">
        <f>-'Table 5C1A-Madison Prep'!T53</f>
        <v>0</v>
      </c>
      <c r="G52" s="358">
        <f>-'Table 5C1B-DArbonne'!T53</f>
        <v>0</v>
      </c>
      <c r="H52" s="358">
        <f>-'Table 5C1C-Intl_VIBE'!T53</f>
        <v>0</v>
      </c>
      <c r="I52" s="358">
        <f>-'Table 5C1D-NOMMA'!T53</f>
        <v>0</v>
      </c>
      <c r="J52" s="358"/>
      <c r="K52" s="358">
        <f>-'Table 5C1E-LFNO'!V53</f>
        <v>0</v>
      </c>
      <c r="L52" s="358">
        <f>-'Table 5C1F-Lake Charles Charter'!T53</f>
        <v>0</v>
      </c>
      <c r="M52" s="358">
        <f>-'Table 5C1G-JS Clark Academy'!T53</f>
        <v>0</v>
      </c>
      <c r="N52" s="358">
        <f>-'Table 5C1H-Southwest LA Charter'!T53</f>
        <v>0</v>
      </c>
      <c r="O52" s="358">
        <f>-'Table 5C1I-LA Key Academy'!T53</f>
        <v>0</v>
      </c>
      <c r="P52" s="358">
        <f>-'Table 5C1J-Jefferson Chamber'!T53</f>
        <v>0</v>
      </c>
      <c r="Q52" s="358">
        <f>-'Table 5C1K-Tallulah Charter'!T53</f>
        <v>0</v>
      </c>
      <c r="R52" s="358">
        <f>-'Table 5C1L-Northshore Charter'!T53</f>
        <v>0</v>
      </c>
      <c r="S52" s="358">
        <f>-'Table 5C1M-EBR Charter'!T53</f>
        <v>0</v>
      </c>
      <c r="T52" s="358">
        <f>-'Table 5C1N-Delta Charter'!T53</f>
        <v>0</v>
      </c>
      <c r="U52" s="358">
        <f>-'Table 5C2 - LA Virtual Admy'!U50</f>
        <v>-1255</v>
      </c>
      <c r="V52" s="358">
        <f>-'Table 5C3 - LA Connections EBR'!U50</f>
        <v>-994</v>
      </c>
      <c r="W52" s="358">
        <f>-'Table 5E_OJJ'!S53</f>
        <v>0</v>
      </c>
      <c r="X52" s="1524">
        <f t="shared" si="39"/>
        <v>-2249</v>
      </c>
      <c r="Y52" s="736">
        <f t="shared" si="40"/>
        <v>1095725</v>
      </c>
      <c r="Z52" s="358"/>
      <c r="AA52" s="358"/>
      <c r="AB52" s="358"/>
      <c r="AC52" s="358">
        <f>'Table 5C1A-Madison Prep'!P53</f>
        <v>0</v>
      </c>
      <c r="AD52" s="358">
        <f>'Table 5C1B-DArbonne'!P53</f>
        <v>0</v>
      </c>
      <c r="AE52" s="358">
        <f>'Table 5C1C-Intl_VIBE'!P53</f>
        <v>0</v>
      </c>
      <c r="AF52" s="358">
        <f>'Table 5C1D-NOMMA'!P53</f>
        <v>0</v>
      </c>
      <c r="AG52" s="358">
        <f>'Table 5C1E-LFNO'!R53</f>
        <v>0</v>
      </c>
      <c r="AH52" s="358">
        <f>'Table 5C1F-Lake Charles Charter'!P53</f>
        <v>0</v>
      </c>
      <c r="AI52" s="358">
        <f>'Table 5C1G-JS Clark Academy'!P53</f>
        <v>0</v>
      </c>
      <c r="AJ52" s="358">
        <f>'Table 5C1H-Southwest LA Charter'!P53</f>
        <v>0</v>
      </c>
      <c r="AK52" s="358">
        <f>'Table 5C1I-LA Key Academy'!P53</f>
        <v>0</v>
      </c>
      <c r="AL52" s="358">
        <f>'Table 5C1J-Jefferson Chamber'!P53</f>
        <v>0</v>
      </c>
      <c r="AM52" s="358">
        <f>'Table 5C1K-Tallulah Charter'!P53</f>
        <v>0</v>
      </c>
      <c r="AN52" s="358">
        <f>'Table 5C1L-Northshore Charter'!P53</f>
        <v>0</v>
      </c>
      <c r="AO52" s="358">
        <f>'Table 5C1M-EBR Charter'!P53</f>
        <v>0</v>
      </c>
      <c r="AP52" s="358">
        <f>'Table 5C1N-Delta Charter'!P53</f>
        <v>0</v>
      </c>
      <c r="AQ52" s="358">
        <f>'Table 5C2 - LA Virtual Admy'!Q50</f>
        <v>-60</v>
      </c>
      <c r="AR52" s="358">
        <f>'Table 5C3 - LA Connections EBR'!Q50</f>
        <v>-30</v>
      </c>
      <c r="AS52" s="736">
        <f t="shared" si="41"/>
        <v>1095635</v>
      </c>
      <c r="AT52" s="47"/>
      <c r="AZ52"/>
      <c r="BI52"/>
    </row>
    <row r="53" spans="1:61">
      <c r="A53" s="99">
        <v>48</v>
      </c>
      <c r="B53" s="302" t="s">
        <v>197</v>
      </c>
      <c r="C53" s="311">
        <f>'Table 2_State Distrib and Adjs'!V54</f>
        <v>2466167</v>
      </c>
      <c r="D53" s="358"/>
      <c r="E53" s="358"/>
      <c r="F53" s="358">
        <f>-'Table 5C1A-Madison Prep'!T54</f>
        <v>0</v>
      </c>
      <c r="G53" s="358">
        <f>-'Table 5C1B-DArbonne'!T54</f>
        <v>0</v>
      </c>
      <c r="H53" s="358">
        <f>-'Table 5C1C-Intl_VIBE'!T54</f>
        <v>-1072.81125</v>
      </c>
      <c r="I53" s="358">
        <f>-'Table 5C1D-NOMMA'!T54</f>
        <v>0</v>
      </c>
      <c r="J53" s="358"/>
      <c r="K53" s="358">
        <f>-'Table 5C1E-LFNO'!V54</f>
        <v>0</v>
      </c>
      <c r="L53" s="358">
        <f>-'Table 5C1F-Lake Charles Charter'!T54</f>
        <v>0</v>
      </c>
      <c r="M53" s="358">
        <f>-'Table 5C1G-JS Clark Academy'!T54</f>
        <v>0</v>
      </c>
      <c r="N53" s="358">
        <f>-'Table 5C1H-Southwest LA Charter'!T54</f>
        <v>0</v>
      </c>
      <c r="O53" s="358">
        <f>-'Table 5C1I-LA Key Academy'!T54</f>
        <v>0</v>
      </c>
      <c r="P53" s="358">
        <f>-'Table 5C1J-Jefferson Chamber'!T54</f>
        <v>0</v>
      </c>
      <c r="Q53" s="358">
        <f>-'Table 5C1K-Tallulah Charter'!T54</f>
        <v>0</v>
      </c>
      <c r="R53" s="358">
        <f>-'Table 5C1L-Northshore Charter'!T54</f>
        <v>0</v>
      </c>
      <c r="S53" s="358">
        <f>-'Table 5C1M-EBR Charter'!T54</f>
        <v>0</v>
      </c>
      <c r="T53" s="358">
        <f>-'Table 5C1N-Delta Charter'!T54</f>
        <v>0</v>
      </c>
      <c r="U53" s="358">
        <f>-'Table 5C2 - LA Virtual Admy'!U51</f>
        <v>-14578</v>
      </c>
      <c r="V53" s="358">
        <f>-'Table 5C3 - LA Connections EBR'!U51</f>
        <v>-8690</v>
      </c>
      <c r="W53" s="358">
        <f>-'Table 5E_OJJ'!S54</f>
        <v>-341</v>
      </c>
      <c r="X53" s="1524">
        <f t="shared" si="39"/>
        <v>-24681.811249999999</v>
      </c>
      <c r="Y53" s="736">
        <f t="shared" si="40"/>
        <v>2441485.1887500002</v>
      </c>
      <c r="Z53" s="358"/>
      <c r="AA53" s="358"/>
      <c r="AB53" s="358"/>
      <c r="AC53" s="358">
        <f>'Table 5C1A-Madison Prep'!P54</f>
        <v>0</v>
      </c>
      <c r="AD53" s="358">
        <f>'Table 5C1B-DArbonne'!P54</f>
        <v>0</v>
      </c>
      <c r="AE53" s="358">
        <f>'Table 5C1C-Intl_VIBE'!P54</f>
        <v>-32.265000000000001</v>
      </c>
      <c r="AF53" s="358">
        <f>'Table 5C1D-NOMMA'!P54</f>
        <v>0</v>
      </c>
      <c r="AG53" s="358">
        <f>'Table 5C1E-LFNO'!R54</f>
        <v>0</v>
      </c>
      <c r="AH53" s="358">
        <f>'Table 5C1F-Lake Charles Charter'!P54</f>
        <v>0</v>
      </c>
      <c r="AI53" s="358">
        <f>'Table 5C1G-JS Clark Academy'!P54</f>
        <v>0</v>
      </c>
      <c r="AJ53" s="358">
        <f>'Table 5C1H-Southwest LA Charter'!P54</f>
        <v>0</v>
      </c>
      <c r="AK53" s="358">
        <f>'Table 5C1I-LA Key Academy'!P54</f>
        <v>0</v>
      </c>
      <c r="AL53" s="358">
        <f>'Table 5C1J-Jefferson Chamber'!P54</f>
        <v>0</v>
      </c>
      <c r="AM53" s="358">
        <f>'Table 5C1K-Tallulah Charter'!P54</f>
        <v>0</v>
      </c>
      <c r="AN53" s="358">
        <f>'Table 5C1L-Northshore Charter'!P54</f>
        <v>0</v>
      </c>
      <c r="AO53" s="358">
        <f>'Table 5C1M-EBR Charter'!P54</f>
        <v>0</v>
      </c>
      <c r="AP53" s="358">
        <f>'Table 5C1N-Delta Charter'!P54</f>
        <v>0</v>
      </c>
      <c r="AQ53" s="358">
        <f>'Table 5C2 - LA Virtual Admy'!Q51</f>
        <v>-421</v>
      </c>
      <c r="AR53" s="358">
        <f>'Table 5C3 - LA Connections EBR'!Q51</f>
        <v>-261</v>
      </c>
      <c r="AS53" s="736">
        <f t="shared" si="41"/>
        <v>2440770.9237500001</v>
      </c>
      <c r="AT53" s="47"/>
      <c r="AZ53"/>
      <c r="BI53"/>
    </row>
    <row r="54" spans="1:61">
      <c r="A54" s="99">
        <v>49</v>
      </c>
      <c r="B54" s="302" t="s">
        <v>140</v>
      </c>
      <c r="C54" s="311">
        <f>'Table 2_State Distrib and Adjs'!V55</f>
        <v>6431071</v>
      </c>
      <c r="D54" s="358"/>
      <c r="E54" s="358"/>
      <c r="F54" s="358">
        <f>-'Table 5C1A-Madison Prep'!T55</f>
        <v>0</v>
      </c>
      <c r="G54" s="358">
        <f>-'Table 5C1B-DArbonne'!T55</f>
        <v>0</v>
      </c>
      <c r="H54" s="358">
        <f>-'Table 5C1C-Intl_VIBE'!T55</f>
        <v>0</v>
      </c>
      <c r="I54" s="358">
        <f>-'Table 5C1D-NOMMA'!T55</f>
        <v>0</v>
      </c>
      <c r="J54" s="358"/>
      <c r="K54" s="358">
        <f>-'Table 5C1E-LFNO'!V55</f>
        <v>0</v>
      </c>
      <c r="L54" s="358">
        <f>-'Table 5C1F-Lake Charles Charter'!T55</f>
        <v>0</v>
      </c>
      <c r="M54" s="358">
        <f>-'Table 5C1G-JS Clark Academy'!T55</f>
        <v>-31943.264791666665</v>
      </c>
      <c r="N54" s="358">
        <f>-'Table 5C1H-Southwest LA Charter'!T55</f>
        <v>0</v>
      </c>
      <c r="O54" s="358">
        <f>-'Table 5C1I-LA Key Academy'!T55</f>
        <v>0</v>
      </c>
      <c r="P54" s="358">
        <f>-'Table 5C1J-Jefferson Chamber'!T55</f>
        <v>0</v>
      </c>
      <c r="Q54" s="358">
        <f>-'Table 5C1K-Tallulah Charter'!T55</f>
        <v>0</v>
      </c>
      <c r="R54" s="358">
        <f>-'Table 5C1L-Northshore Charter'!T55</f>
        <v>0</v>
      </c>
      <c r="S54" s="358">
        <f>-'Table 5C1M-EBR Charter'!T55</f>
        <v>0</v>
      </c>
      <c r="T54" s="358">
        <f>-'Table 5C1N-Delta Charter'!T55</f>
        <v>0</v>
      </c>
      <c r="U54" s="358">
        <f>-'Table 5C2 - LA Virtual Admy'!U52</f>
        <v>-8125</v>
      </c>
      <c r="V54" s="358">
        <f>-'Table 5C3 - LA Connections EBR'!U52</f>
        <v>-5475</v>
      </c>
      <c r="W54" s="358">
        <f>-'Table 5E_OJJ'!S55</f>
        <v>-1392</v>
      </c>
      <c r="X54" s="1524">
        <f t="shared" si="39"/>
        <v>-46935.264791666661</v>
      </c>
      <c r="Y54" s="736">
        <f t="shared" si="40"/>
        <v>6384135.7352083335</v>
      </c>
      <c r="Z54" s="358"/>
      <c r="AA54" s="358"/>
      <c r="AB54" s="358"/>
      <c r="AC54" s="358">
        <f>'Table 5C1A-Madison Prep'!P55</f>
        <v>0</v>
      </c>
      <c r="AD54" s="358">
        <f>'Table 5C1B-DArbonne'!P55</f>
        <v>0</v>
      </c>
      <c r="AE54" s="358">
        <f>'Table 5C1C-Intl_VIBE'!P55</f>
        <v>0</v>
      </c>
      <c r="AF54" s="358">
        <f>'Table 5C1D-NOMMA'!P55</f>
        <v>0</v>
      </c>
      <c r="AG54" s="358">
        <f>'Table 5C1E-LFNO'!R55</f>
        <v>0</v>
      </c>
      <c r="AH54" s="358">
        <f>'Table 5C1F-Lake Charles Charter'!P55</f>
        <v>0</v>
      </c>
      <c r="AI54" s="358">
        <f>'Table 5C1G-JS Clark Academy'!P55</f>
        <v>-954.82249999999999</v>
      </c>
      <c r="AJ54" s="358">
        <f>'Table 5C1H-Southwest LA Charter'!P55</f>
        <v>0</v>
      </c>
      <c r="AK54" s="358">
        <f>'Table 5C1I-LA Key Academy'!P55</f>
        <v>0</v>
      </c>
      <c r="AL54" s="358">
        <f>'Table 5C1J-Jefferson Chamber'!P55</f>
        <v>0</v>
      </c>
      <c r="AM54" s="358">
        <f>'Table 5C1K-Tallulah Charter'!P55</f>
        <v>0</v>
      </c>
      <c r="AN54" s="358">
        <f>'Table 5C1L-Northshore Charter'!P55</f>
        <v>0</v>
      </c>
      <c r="AO54" s="358">
        <f>'Table 5C1M-EBR Charter'!P55</f>
        <v>0</v>
      </c>
      <c r="AP54" s="358">
        <f>'Table 5C1N-Delta Charter'!P55</f>
        <v>0</v>
      </c>
      <c r="AQ54" s="358">
        <f>'Table 5C2 - LA Virtual Admy'!Q52</f>
        <v>-242</v>
      </c>
      <c r="AR54" s="358">
        <f>'Table 5C3 - LA Connections EBR'!Q52</f>
        <v>-165</v>
      </c>
      <c r="AS54" s="736">
        <f t="shared" si="41"/>
        <v>6382773.9127083337</v>
      </c>
      <c r="AT54" s="47"/>
      <c r="AZ54"/>
      <c r="BI54"/>
    </row>
    <row r="55" spans="1:61">
      <c r="A55" s="100">
        <v>50</v>
      </c>
      <c r="B55" s="303" t="s">
        <v>141</v>
      </c>
      <c r="C55" s="319">
        <f>'Table 2_State Distrib and Adjs'!V56</f>
        <v>3715860</v>
      </c>
      <c r="D55" s="359"/>
      <c r="E55" s="359"/>
      <c r="F55" s="359">
        <f>-'Table 5C1A-Madison Prep'!T56</f>
        <v>0</v>
      </c>
      <c r="G55" s="359">
        <f>-'Table 5C1B-DArbonne'!T56</f>
        <v>0</v>
      </c>
      <c r="H55" s="359">
        <f>-'Table 5C1C-Intl_VIBE'!T56</f>
        <v>0</v>
      </c>
      <c r="I55" s="359">
        <f>-'Table 5C1D-NOMMA'!T56</f>
        <v>0</v>
      </c>
      <c r="J55" s="359"/>
      <c r="K55" s="359">
        <f>-'Table 5C1E-LFNO'!V56</f>
        <v>0</v>
      </c>
      <c r="L55" s="359">
        <f>-'Table 5C1F-Lake Charles Charter'!T56</f>
        <v>0</v>
      </c>
      <c r="M55" s="359">
        <f>-'Table 5C1G-JS Clark Academy'!T56</f>
        <v>0</v>
      </c>
      <c r="N55" s="359">
        <f>-'Table 5C1H-Southwest LA Charter'!T56</f>
        <v>0</v>
      </c>
      <c r="O55" s="359">
        <f>-'Table 5C1I-LA Key Academy'!T56</f>
        <v>0</v>
      </c>
      <c r="P55" s="359">
        <f>-'Table 5C1J-Jefferson Chamber'!T56</f>
        <v>0</v>
      </c>
      <c r="Q55" s="359">
        <f>-'Table 5C1K-Tallulah Charter'!T56</f>
        <v>0</v>
      </c>
      <c r="R55" s="359">
        <f>-'Table 5C1L-Northshore Charter'!T56</f>
        <v>0</v>
      </c>
      <c r="S55" s="359">
        <f>-'Table 5C1M-EBR Charter'!T56</f>
        <v>0</v>
      </c>
      <c r="T55" s="359">
        <f>-'Table 5C1N-Delta Charter'!T56</f>
        <v>0</v>
      </c>
      <c r="U55" s="359">
        <f>-'Table 5C2 - LA Virtual Admy'!U53</f>
        <v>-1810</v>
      </c>
      <c r="V55" s="359">
        <f>-'Table 5C3 - LA Connections EBR'!U53</f>
        <v>-2305</v>
      </c>
      <c r="W55" s="359">
        <f>-'Table 5E_OJJ'!S56</f>
        <v>-904</v>
      </c>
      <c r="X55" s="359">
        <f t="shared" si="39"/>
        <v>-5019</v>
      </c>
      <c r="Y55" s="737">
        <f t="shared" si="40"/>
        <v>3710841</v>
      </c>
      <c r="Z55" s="359"/>
      <c r="AA55" s="359"/>
      <c r="AB55" s="359"/>
      <c r="AC55" s="359">
        <f>'Table 5C1A-Madison Prep'!P56</f>
        <v>0</v>
      </c>
      <c r="AD55" s="359">
        <f>'Table 5C1B-DArbonne'!P56</f>
        <v>0</v>
      </c>
      <c r="AE55" s="359">
        <f>'Table 5C1C-Intl_VIBE'!P56</f>
        <v>0</v>
      </c>
      <c r="AF55" s="359">
        <f>'Table 5C1D-NOMMA'!P56</f>
        <v>0</v>
      </c>
      <c r="AG55" s="359">
        <f>'Table 5C1E-LFNO'!R56</f>
        <v>0</v>
      </c>
      <c r="AH55" s="359">
        <f>'Table 5C1F-Lake Charles Charter'!P56</f>
        <v>0</v>
      </c>
      <c r="AI55" s="359">
        <f>'Table 5C1G-JS Clark Academy'!P56</f>
        <v>0</v>
      </c>
      <c r="AJ55" s="359">
        <f>'Table 5C1H-Southwest LA Charter'!P56</f>
        <v>0</v>
      </c>
      <c r="AK55" s="359">
        <f>'Table 5C1I-LA Key Academy'!P56</f>
        <v>0</v>
      </c>
      <c r="AL55" s="359">
        <f>'Table 5C1J-Jefferson Chamber'!P56</f>
        <v>0</v>
      </c>
      <c r="AM55" s="359">
        <f>'Table 5C1K-Tallulah Charter'!P56</f>
        <v>0</v>
      </c>
      <c r="AN55" s="359">
        <f>'Table 5C1L-Northshore Charter'!P56</f>
        <v>0</v>
      </c>
      <c r="AO55" s="359">
        <f>'Table 5C1M-EBR Charter'!P56</f>
        <v>0</v>
      </c>
      <c r="AP55" s="359">
        <f>'Table 5C1N-Delta Charter'!P56</f>
        <v>0</v>
      </c>
      <c r="AQ55" s="359">
        <f>'Table 5C2 - LA Virtual Admy'!Q53</f>
        <v>-63</v>
      </c>
      <c r="AR55" s="359">
        <f>'Table 5C3 - LA Connections EBR'!Q53</f>
        <v>-69</v>
      </c>
      <c r="AS55" s="737">
        <f t="shared" si="41"/>
        <v>3710709</v>
      </c>
      <c r="AT55" s="47"/>
      <c r="AZ55"/>
      <c r="BI55"/>
    </row>
    <row r="56" spans="1:61">
      <c r="A56" s="99">
        <v>51</v>
      </c>
      <c r="B56" s="302" t="s">
        <v>142</v>
      </c>
      <c r="C56" s="311">
        <f>'Table 2_State Distrib and Adjs'!V57</f>
        <v>3710718</v>
      </c>
      <c r="D56" s="358"/>
      <c r="E56" s="358"/>
      <c r="F56" s="358">
        <f>-'Table 5C1A-Madison Prep'!T57</f>
        <v>0</v>
      </c>
      <c r="G56" s="358">
        <f>-'Table 5C1B-DArbonne'!T57</f>
        <v>0</v>
      </c>
      <c r="H56" s="358">
        <f>-'Table 5C1C-Intl_VIBE'!T57</f>
        <v>0</v>
      </c>
      <c r="I56" s="358">
        <f>-'Table 5C1D-NOMMA'!T57</f>
        <v>0</v>
      </c>
      <c r="J56" s="358"/>
      <c r="K56" s="358">
        <f>-'Table 5C1E-LFNO'!V57</f>
        <v>0</v>
      </c>
      <c r="L56" s="358">
        <f>-'Table 5C1F-Lake Charles Charter'!T57</f>
        <v>0</v>
      </c>
      <c r="M56" s="358">
        <f>-'Table 5C1G-JS Clark Academy'!T57</f>
        <v>0</v>
      </c>
      <c r="N56" s="358">
        <f>-'Table 5C1H-Southwest LA Charter'!T57</f>
        <v>0</v>
      </c>
      <c r="O56" s="358">
        <f>-'Table 5C1I-LA Key Academy'!T57</f>
        <v>0</v>
      </c>
      <c r="P56" s="358">
        <f>-'Table 5C1J-Jefferson Chamber'!T57</f>
        <v>0</v>
      </c>
      <c r="Q56" s="358">
        <f>-'Table 5C1K-Tallulah Charter'!T57</f>
        <v>0</v>
      </c>
      <c r="R56" s="358">
        <f>-'Table 5C1L-Northshore Charter'!T57</f>
        <v>0</v>
      </c>
      <c r="S56" s="358">
        <f>-'Table 5C1M-EBR Charter'!T57</f>
        <v>0</v>
      </c>
      <c r="T56" s="358">
        <f>-'Table 5C1N-Delta Charter'!T57</f>
        <v>0</v>
      </c>
      <c r="U56" s="358">
        <f>-'Table 5C2 - LA Virtual Admy'!U54</f>
        <v>443</v>
      </c>
      <c r="V56" s="358">
        <f>-'Table 5C3 - LA Connections EBR'!U54</f>
        <v>-315</v>
      </c>
      <c r="W56" s="358">
        <f>-'Table 5E_OJJ'!S57</f>
        <v>-919</v>
      </c>
      <c r="X56" s="1524">
        <f t="shared" si="39"/>
        <v>-791</v>
      </c>
      <c r="Y56" s="736">
        <f t="shared" si="40"/>
        <v>3709927</v>
      </c>
      <c r="Z56" s="358"/>
      <c r="AA56" s="358"/>
      <c r="AB56" s="358"/>
      <c r="AC56" s="358">
        <f>'Table 5C1A-Madison Prep'!P57</f>
        <v>0</v>
      </c>
      <c r="AD56" s="358">
        <f>'Table 5C1B-DArbonne'!P57</f>
        <v>0</v>
      </c>
      <c r="AE56" s="358">
        <f>'Table 5C1C-Intl_VIBE'!P57</f>
        <v>0</v>
      </c>
      <c r="AF56" s="358">
        <f>'Table 5C1D-NOMMA'!P57</f>
        <v>0</v>
      </c>
      <c r="AG56" s="358">
        <f>'Table 5C1E-LFNO'!R57</f>
        <v>0</v>
      </c>
      <c r="AH56" s="358">
        <f>'Table 5C1F-Lake Charles Charter'!P57</f>
        <v>0</v>
      </c>
      <c r="AI56" s="358">
        <f>'Table 5C1G-JS Clark Academy'!P57</f>
        <v>0</v>
      </c>
      <c r="AJ56" s="358">
        <f>'Table 5C1H-Southwest LA Charter'!P57</f>
        <v>0</v>
      </c>
      <c r="AK56" s="358">
        <f>'Table 5C1I-LA Key Academy'!P57</f>
        <v>0</v>
      </c>
      <c r="AL56" s="358">
        <f>'Table 5C1J-Jefferson Chamber'!P57</f>
        <v>0</v>
      </c>
      <c r="AM56" s="358">
        <f>'Table 5C1K-Tallulah Charter'!P57</f>
        <v>0</v>
      </c>
      <c r="AN56" s="358">
        <f>'Table 5C1L-Northshore Charter'!P57</f>
        <v>0</v>
      </c>
      <c r="AO56" s="358">
        <f>'Table 5C1M-EBR Charter'!P57</f>
        <v>0</v>
      </c>
      <c r="AP56" s="358">
        <f>'Table 5C1N-Delta Charter'!P57</f>
        <v>0</v>
      </c>
      <c r="AQ56" s="358">
        <f>'Table 5C2 - LA Virtual Admy'!Q54</f>
        <v>-9</v>
      </c>
      <c r="AR56" s="358">
        <f>'Table 5C3 - LA Connections EBR'!Q54</f>
        <v>-9</v>
      </c>
      <c r="AS56" s="736">
        <f t="shared" si="41"/>
        <v>3709909</v>
      </c>
      <c r="AT56" s="47"/>
      <c r="AZ56"/>
      <c r="BI56"/>
    </row>
    <row r="57" spans="1:61">
      <c r="A57" s="99">
        <v>52</v>
      </c>
      <c r="B57" s="302" t="s">
        <v>143</v>
      </c>
      <c r="C57" s="311">
        <f>'Table 2_State Distrib and Adjs'!V58</f>
        <v>17425073</v>
      </c>
      <c r="D57" s="358"/>
      <c r="E57" s="358"/>
      <c r="F57" s="358">
        <f>-'Table 5C1A-Madison Prep'!T58</f>
        <v>0</v>
      </c>
      <c r="G57" s="358">
        <f>-'Table 5C1B-DArbonne'!T58</f>
        <v>0</v>
      </c>
      <c r="H57" s="358">
        <f>-'Table 5C1C-Intl_VIBE'!T58</f>
        <v>-1219.194375</v>
      </c>
      <c r="I57" s="358">
        <f>-'Table 5C1D-NOMMA'!T58</f>
        <v>0</v>
      </c>
      <c r="J57" s="358"/>
      <c r="K57" s="358">
        <f>-'Table 5C1E-LFNO'!V58</f>
        <v>-406.39812499999999</v>
      </c>
      <c r="L57" s="358">
        <f>-'Table 5C1F-Lake Charles Charter'!T58</f>
        <v>0</v>
      </c>
      <c r="M57" s="358">
        <f>-'Table 5C1G-JS Clark Academy'!T58</f>
        <v>0</v>
      </c>
      <c r="N57" s="358">
        <f>-'Table 5C1H-Southwest LA Charter'!T58</f>
        <v>0</v>
      </c>
      <c r="O57" s="358">
        <f>-'Table 5C1I-LA Key Academy'!T58</f>
        <v>0</v>
      </c>
      <c r="P57" s="358">
        <f>-'Table 5C1J-Jefferson Chamber'!T58</f>
        <v>0</v>
      </c>
      <c r="Q57" s="358">
        <f>-'Table 5C1K-Tallulah Charter'!T58</f>
        <v>0</v>
      </c>
      <c r="R57" s="358">
        <f>-'Table 5C1L-Northshore Charter'!T58</f>
        <v>0</v>
      </c>
      <c r="S57" s="358">
        <f>-'Table 5C1M-EBR Charter'!T58</f>
        <v>0</v>
      </c>
      <c r="T57" s="358">
        <f>-'Table 5C1N-Delta Charter'!T58</f>
        <v>0</v>
      </c>
      <c r="U57" s="358">
        <f>-'Table 5C2 - LA Virtual Admy'!U55</f>
        <v>-25595</v>
      </c>
      <c r="V57" s="358">
        <f>-'Table 5C3 - LA Connections EBR'!U55</f>
        <v>-39136</v>
      </c>
      <c r="W57" s="358">
        <f>-'Table 5E_OJJ'!S58</f>
        <v>-3558</v>
      </c>
      <c r="X57" s="1524">
        <f t="shared" si="39"/>
        <v>-69914.592499999999</v>
      </c>
      <c r="Y57" s="736">
        <f t="shared" si="40"/>
        <v>17355158.407499999</v>
      </c>
      <c r="Z57" s="358"/>
      <c r="AA57" s="358"/>
      <c r="AB57" s="358"/>
      <c r="AC57" s="358">
        <f>'Table 5C1A-Madison Prep'!P58</f>
        <v>0</v>
      </c>
      <c r="AD57" s="358">
        <f>'Table 5C1B-DArbonne'!P58</f>
        <v>0</v>
      </c>
      <c r="AE57" s="358">
        <f>'Table 5C1C-Intl_VIBE'!P58</f>
        <v>-36.667500000000004</v>
      </c>
      <c r="AF57" s="358">
        <f>'Table 5C1D-NOMMA'!P58</f>
        <v>0</v>
      </c>
      <c r="AG57" s="358">
        <f>'Table 5C1E-LFNO'!R58</f>
        <v>-12.2225</v>
      </c>
      <c r="AH57" s="358">
        <f>'Table 5C1F-Lake Charles Charter'!P58</f>
        <v>0</v>
      </c>
      <c r="AI57" s="358">
        <f>'Table 5C1G-JS Clark Academy'!P58</f>
        <v>0</v>
      </c>
      <c r="AJ57" s="358">
        <f>'Table 5C1H-Southwest LA Charter'!P58</f>
        <v>0</v>
      </c>
      <c r="AK57" s="358">
        <f>'Table 5C1I-LA Key Academy'!P58</f>
        <v>0</v>
      </c>
      <c r="AL57" s="358">
        <f>'Table 5C1J-Jefferson Chamber'!P58</f>
        <v>0</v>
      </c>
      <c r="AM57" s="358">
        <f>'Table 5C1K-Tallulah Charter'!P58</f>
        <v>0</v>
      </c>
      <c r="AN57" s="358">
        <f>'Table 5C1L-Northshore Charter'!P58</f>
        <v>0</v>
      </c>
      <c r="AO57" s="358">
        <f>'Table 5C1M-EBR Charter'!P58</f>
        <v>0</v>
      </c>
      <c r="AP57" s="358">
        <f>'Table 5C1N-Delta Charter'!P58</f>
        <v>0</v>
      </c>
      <c r="AQ57" s="358">
        <f>'Table 5C2 - LA Virtual Admy'!Q55</f>
        <v>-748</v>
      </c>
      <c r="AR57" s="358">
        <f>'Table 5C3 - LA Connections EBR'!Q55</f>
        <v>-1177</v>
      </c>
      <c r="AS57" s="736">
        <f t="shared" si="41"/>
        <v>17353184.517499998</v>
      </c>
      <c r="AT57" s="47"/>
      <c r="AZ57"/>
      <c r="BI57"/>
    </row>
    <row r="58" spans="1:61">
      <c r="A58" s="99">
        <v>53</v>
      </c>
      <c r="B58" s="302" t="s">
        <v>144</v>
      </c>
      <c r="C58" s="311">
        <f>'Table 2_State Distrib and Adjs'!V59</f>
        <v>8671469</v>
      </c>
      <c r="D58" s="358"/>
      <c r="E58" s="358"/>
      <c r="F58" s="358">
        <f>-'Table 5C1A-Madison Prep'!T59</f>
        <v>0</v>
      </c>
      <c r="G58" s="358">
        <f>-'Table 5C1B-DArbonne'!T59</f>
        <v>0</v>
      </c>
      <c r="H58" s="358">
        <f>-'Table 5C1C-Intl_VIBE'!T59</f>
        <v>0</v>
      </c>
      <c r="I58" s="358">
        <f>-'Table 5C1D-NOMMA'!T59</f>
        <v>0</v>
      </c>
      <c r="J58" s="358"/>
      <c r="K58" s="358">
        <f>-'Table 5C1E-LFNO'!V59</f>
        <v>0</v>
      </c>
      <c r="L58" s="358">
        <f>-'Table 5C1F-Lake Charles Charter'!T59</f>
        <v>0</v>
      </c>
      <c r="M58" s="358">
        <f>-'Table 5C1G-JS Clark Academy'!T59</f>
        <v>0</v>
      </c>
      <c r="N58" s="358">
        <f>-'Table 5C1H-Southwest LA Charter'!T59</f>
        <v>0</v>
      </c>
      <c r="O58" s="358">
        <f>-'Table 5C1I-LA Key Academy'!T59</f>
        <v>0</v>
      </c>
      <c r="P58" s="358">
        <f>-'Table 5C1J-Jefferson Chamber'!T59</f>
        <v>0</v>
      </c>
      <c r="Q58" s="358">
        <f>-'Table 5C1K-Tallulah Charter'!T59</f>
        <v>0</v>
      </c>
      <c r="R58" s="358">
        <f>-'Table 5C1L-Northshore Charter'!T59</f>
        <v>0</v>
      </c>
      <c r="S58" s="358">
        <f>-'Table 5C1M-EBR Charter'!T59</f>
        <v>0</v>
      </c>
      <c r="T58" s="358">
        <f>-'Table 5C1N-Delta Charter'!T59</f>
        <v>0</v>
      </c>
      <c r="U58" s="358">
        <f>-'Table 5C2 - LA Virtual Admy'!U56</f>
        <v>-8301</v>
      </c>
      <c r="V58" s="358">
        <f>-'Table 5C3 - LA Connections EBR'!U56</f>
        <v>-8719</v>
      </c>
      <c r="W58" s="358">
        <f>-'Table 5E_OJJ'!S59</f>
        <v>-1225</v>
      </c>
      <c r="X58" s="1524">
        <f t="shared" si="39"/>
        <v>-18245</v>
      </c>
      <c r="Y58" s="736">
        <f t="shared" si="40"/>
        <v>8653224</v>
      </c>
      <c r="Z58" s="358"/>
      <c r="AA58" s="358"/>
      <c r="AB58" s="358"/>
      <c r="AC58" s="358">
        <f>'Table 5C1A-Madison Prep'!P59</f>
        <v>0</v>
      </c>
      <c r="AD58" s="358">
        <f>'Table 5C1B-DArbonne'!P59</f>
        <v>0</v>
      </c>
      <c r="AE58" s="358">
        <f>'Table 5C1C-Intl_VIBE'!P59</f>
        <v>0</v>
      </c>
      <c r="AF58" s="358">
        <f>'Table 5C1D-NOMMA'!P59</f>
        <v>0</v>
      </c>
      <c r="AG58" s="358">
        <f>'Table 5C1E-LFNO'!R59</f>
        <v>0</v>
      </c>
      <c r="AH58" s="358">
        <f>'Table 5C1F-Lake Charles Charter'!P59</f>
        <v>0</v>
      </c>
      <c r="AI58" s="358">
        <f>'Table 5C1G-JS Clark Academy'!P59</f>
        <v>0</v>
      </c>
      <c r="AJ58" s="358">
        <f>'Table 5C1H-Southwest LA Charter'!P59</f>
        <v>0</v>
      </c>
      <c r="AK58" s="358">
        <f>'Table 5C1I-LA Key Academy'!P59</f>
        <v>0</v>
      </c>
      <c r="AL58" s="358">
        <f>'Table 5C1J-Jefferson Chamber'!P59</f>
        <v>0</v>
      </c>
      <c r="AM58" s="358">
        <f>'Table 5C1K-Tallulah Charter'!P59</f>
        <v>0</v>
      </c>
      <c r="AN58" s="358">
        <f>'Table 5C1L-Northshore Charter'!P59</f>
        <v>0</v>
      </c>
      <c r="AO58" s="358">
        <f>'Table 5C1M-EBR Charter'!P59</f>
        <v>0</v>
      </c>
      <c r="AP58" s="358">
        <f>'Table 5C1N-Delta Charter'!P59</f>
        <v>0</v>
      </c>
      <c r="AQ58" s="358">
        <f>'Table 5C2 - LA Virtual Admy'!Q56</f>
        <v>-243</v>
      </c>
      <c r="AR58" s="358">
        <f>'Table 5C3 - LA Connections EBR'!Q56</f>
        <v>-262</v>
      </c>
      <c r="AS58" s="736">
        <f t="shared" si="41"/>
        <v>8652719</v>
      </c>
      <c r="AT58" s="47"/>
      <c r="AZ58"/>
      <c r="BI58"/>
    </row>
    <row r="59" spans="1:61">
      <c r="A59" s="99">
        <v>54</v>
      </c>
      <c r="B59" s="302" t="s">
        <v>145</v>
      </c>
      <c r="C59" s="311">
        <f>'Table 2_State Distrib and Adjs'!V60</f>
        <v>389458</v>
      </c>
      <c r="D59" s="358"/>
      <c r="E59" s="358"/>
      <c r="F59" s="358">
        <f>-'Table 5C1A-Madison Prep'!T60</f>
        <v>0</v>
      </c>
      <c r="G59" s="358">
        <f>-'Table 5C1B-DArbonne'!T60</f>
        <v>0</v>
      </c>
      <c r="H59" s="358">
        <f>-'Table 5C1C-Intl_VIBE'!T60</f>
        <v>0</v>
      </c>
      <c r="I59" s="358">
        <f>-'Table 5C1D-NOMMA'!T60</f>
        <v>0</v>
      </c>
      <c r="J59" s="358"/>
      <c r="K59" s="358">
        <f>-'Table 5C1E-LFNO'!V60</f>
        <v>0</v>
      </c>
      <c r="L59" s="358">
        <f>-'Table 5C1F-Lake Charles Charter'!T60</f>
        <v>0</v>
      </c>
      <c r="M59" s="358">
        <f>-'Table 5C1G-JS Clark Academy'!T60</f>
        <v>0</v>
      </c>
      <c r="N59" s="358">
        <f>-'Table 5C1H-Southwest LA Charter'!T60</f>
        <v>0</v>
      </c>
      <c r="O59" s="358">
        <f>-'Table 5C1I-LA Key Academy'!T60</f>
        <v>0</v>
      </c>
      <c r="P59" s="358">
        <f>-'Table 5C1J-Jefferson Chamber'!T60</f>
        <v>0</v>
      </c>
      <c r="Q59" s="358">
        <f>-'Table 5C1K-Tallulah Charter'!T60</f>
        <v>0</v>
      </c>
      <c r="R59" s="358">
        <f>-'Table 5C1L-Northshore Charter'!T60</f>
        <v>0</v>
      </c>
      <c r="S59" s="358">
        <f>-'Table 5C1M-EBR Charter'!T60</f>
        <v>0</v>
      </c>
      <c r="T59" s="358">
        <f>-'Table 5C1N-Delta Charter'!T60</f>
        <v>0</v>
      </c>
      <c r="U59" s="358">
        <f>-'Table 5C2 - LA Virtual Admy'!U57</f>
        <v>0</v>
      </c>
      <c r="V59" s="358">
        <f>-'Table 5C3 - LA Connections EBR'!U57</f>
        <v>-1380</v>
      </c>
      <c r="W59" s="358">
        <f>-'Table 5E_OJJ'!S60</f>
        <v>-736</v>
      </c>
      <c r="X59" s="1524">
        <f t="shared" si="39"/>
        <v>-2116</v>
      </c>
      <c r="Y59" s="736">
        <f t="shared" si="40"/>
        <v>387342</v>
      </c>
      <c r="Z59" s="358"/>
      <c r="AA59" s="358"/>
      <c r="AB59" s="358"/>
      <c r="AC59" s="358">
        <f>'Table 5C1A-Madison Prep'!P60</f>
        <v>0</v>
      </c>
      <c r="AD59" s="358">
        <f>'Table 5C1B-DArbonne'!P60</f>
        <v>0</v>
      </c>
      <c r="AE59" s="358">
        <f>'Table 5C1C-Intl_VIBE'!P60</f>
        <v>0</v>
      </c>
      <c r="AF59" s="358">
        <f>'Table 5C1D-NOMMA'!P60</f>
        <v>0</v>
      </c>
      <c r="AG59" s="358">
        <f>'Table 5C1E-LFNO'!R60</f>
        <v>0</v>
      </c>
      <c r="AH59" s="358">
        <f>'Table 5C1F-Lake Charles Charter'!P60</f>
        <v>0</v>
      </c>
      <c r="AI59" s="358">
        <f>'Table 5C1G-JS Clark Academy'!P60</f>
        <v>0</v>
      </c>
      <c r="AJ59" s="358">
        <f>'Table 5C1H-Southwest LA Charter'!P60</f>
        <v>0</v>
      </c>
      <c r="AK59" s="358">
        <f>'Table 5C1I-LA Key Academy'!P60</f>
        <v>0</v>
      </c>
      <c r="AL59" s="358">
        <f>'Table 5C1J-Jefferson Chamber'!P60</f>
        <v>0</v>
      </c>
      <c r="AM59" s="358">
        <f>'Table 5C1K-Tallulah Charter'!P60</f>
        <v>0</v>
      </c>
      <c r="AN59" s="358">
        <f>'Table 5C1L-Northshore Charter'!P60</f>
        <v>0</v>
      </c>
      <c r="AO59" s="358">
        <f>'Table 5C1M-EBR Charter'!P60</f>
        <v>0</v>
      </c>
      <c r="AP59" s="358">
        <f>'Table 5C1N-Delta Charter'!P60</f>
        <v>0</v>
      </c>
      <c r="AQ59" s="358">
        <f>'Table 5C2 - LA Virtual Admy'!Q57</f>
        <v>0</v>
      </c>
      <c r="AR59" s="358">
        <f>'Table 5C3 - LA Connections EBR'!Q57</f>
        <v>-42</v>
      </c>
      <c r="AS59" s="736">
        <f t="shared" si="41"/>
        <v>387300</v>
      </c>
      <c r="AT59" s="47"/>
      <c r="AZ59"/>
      <c r="BI59"/>
    </row>
    <row r="60" spans="1:61">
      <c r="A60" s="100">
        <v>55</v>
      </c>
      <c r="B60" s="303" t="s">
        <v>146</v>
      </c>
      <c r="C60" s="319">
        <f>'Table 2_State Distrib and Adjs'!V61</f>
        <v>7321880</v>
      </c>
      <c r="D60" s="359"/>
      <c r="E60" s="359"/>
      <c r="F60" s="359">
        <f>-'Table 5C1A-Madison Prep'!T61</f>
        <v>0</v>
      </c>
      <c r="G60" s="359">
        <f>-'Table 5C1B-DArbonne'!T61</f>
        <v>0</v>
      </c>
      <c r="H60" s="359">
        <f>-'Table 5C1C-Intl_VIBE'!T61</f>
        <v>0</v>
      </c>
      <c r="I60" s="359">
        <f>-'Table 5C1D-NOMMA'!T61</f>
        <v>0</v>
      </c>
      <c r="J60" s="359"/>
      <c r="K60" s="359">
        <f>-'Table 5C1E-LFNO'!V61</f>
        <v>0</v>
      </c>
      <c r="L60" s="359">
        <f>-'Table 5C1F-Lake Charles Charter'!T61</f>
        <v>0</v>
      </c>
      <c r="M60" s="359">
        <f>-'Table 5C1G-JS Clark Academy'!T61</f>
        <v>0</v>
      </c>
      <c r="N60" s="359">
        <f>-'Table 5C1H-Southwest LA Charter'!T61</f>
        <v>0</v>
      </c>
      <c r="O60" s="359">
        <f>-'Table 5C1I-LA Key Academy'!T61</f>
        <v>0</v>
      </c>
      <c r="P60" s="359">
        <f>-'Table 5C1J-Jefferson Chamber'!T61</f>
        <v>0</v>
      </c>
      <c r="Q60" s="359">
        <f>-'Table 5C1K-Tallulah Charter'!T61</f>
        <v>0</v>
      </c>
      <c r="R60" s="359">
        <f>-'Table 5C1L-Northshore Charter'!T61</f>
        <v>0</v>
      </c>
      <c r="S60" s="359">
        <f>-'Table 5C1M-EBR Charter'!T61</f>
        <v>0</v>
      </c>
      <c r="T60" s="359">
        <f>-'Table 5C1N-Delta Charter'!T61</f>
        <v>0</v>
      </c>
      <c r="U60" s="359">
        <f>-'Table 5C2 - LA Virtual Admy'!U58</f>
        <v>-4620</v>
      </c>
      <c r="V60" s="359">
        <f>-'Table 5C3 - LA Connections EBR'!U58</f>
        <v>-9211</v>
      </c>
      <c r="W60" s="359">
        <f>-'Table 5E_OJJ'!S61</f>
        <v>-3224</v>
      </c>
      <c r="X60" s="359">
        <f t="shared" si="39"/>
        <v>-17055</v>
      </c>
      <c r="Y60" s="737">
        <f t="shared" si="40"/>
        <v>7304825</v>
      </c>
      <c r="Z60" s="359"/>
      <c r="AA60" s="359"/>
      <c r="AB60" s="359"/>
      <c r="AC60" s="359">
        <f>'Table 5C1A-Madison Prep'!P61</f>
        <v>0</v>
      </c>
      <c r="AD60" s="359">
        <f>'Table 5C1B-DArbonne'!P61</f>
        <v>0</v>
      </c>
      <c r="AE60" s="359">
        <f>'Table 5C1C-Intl_VIBE'!P61</f>
        <v>0</v>
      </c>
      <c r="AF60" s="359">
        <f>'Table 5C1D-NOMMA'!P61</f>
        <v>0</v>
      </c>
      <c r="AG60" s="359">
        <f>'Table 5C1E-LFNO'!R61</f>
        <v>0</v>
      </c>
      <c r="AH60" s="359">
        <f>'Table 5C1F-Lake Charles Charter'!P61</f>
        <v>0</v>
      </c>
      <c r="AI60" s="359">
        <f>'Table 5C1G-JS Clark Academy'!P61</f>
        <v>0</v>
      </c>
      <c r="AJ60" s="359">
        <f>'Table 5C1H-Southwest LA Charter'!P61</f>
        <v>0</v>
      </c>
      <c r="AK60" s="359">
        <f>'Table 5C1I-LA Key Academy'!P61</f>
        <v>0</v>
      </c>
      <c r="AL60" s="359">
        <f>'Table 5C1J-Jefferson Chamber'!P61</f>
        <v>0</v>
      </c>
      <c r="AM60" s="359">
        <f>'Table 5C1K-Tallulah Charter'!P61</f>
        <v>0</v>
      </c>
      <c r="AN60" s="359">
        <f>'Table 5C1L-Northshore Charter'!P61</f>
        <v>0</v>
      </c>
      <c r="AO60" s="359">
        <f>'Table 5C1M-EBR Charter'!P61</f>
        <v>0</v>
      </c>
      <c r="AP60" s="359">
        <f>'Table 5C1N-Delta Charter'!P61</f>
        <v>0</v>
      </c>
      <c r="AQ60" s="359">
        <f>'Table 5C2 - LA Virtual Admy'!Q58</f>
        <v>-149</v>
      </c>
      <c r="AR60" s="359">
        <f>'Table 5C3 - LA Connections EBR'!Q58</f>
        <v>-277</v>
      </c>
      <c r="AS60" s="737">
        <f t="shared" si="41"/>
        <v>7304399</v>
      </c>
      <c r="AT60" s="47"/>
      <c r="AZ60"/>
      <c r="BI60"/>
    </row>
    <row r="61" spans="1:61">
      <c r="A61" s="99">
        <v>56</v>
      </c>
      <c r="B61" s="302" t="s">
        <v>147</v>
      </c>
      <c r="C61" s="311">
        <f>'Table 2_State Distrib and Adjs'!V62</f>
        <v>1077568</v>
      </c>
      <c r="D61" s="358"/>
      <c r="E61" s="358"/>
      <c r="F61" s="358">
        <f>-'Table 5C1A-Madison Prep'!T62</f>
        <v>0</v>
      </c>
      <c r="G61" s="358">
        <f>-'Table 5C1B-DArbonne'!T62</f>
        <v>-122663.323125</v>
      </c>
      <c r="H61" s="358">
        <f>-'Table 5C1C-Intl_VIBE'!T62</f>
        <v>0</v>
      </c>
      <c r="I61" s="358">
        <f>-'Table 5C1D-NOMMA'!T62</f>
        <v>0</v>
      </c>
      <c r="J61" s="358"/>
      <c r="K61" s="358">
        <f>-'Table 5C1E-LFNO'!V62</f>
        <v>0</v>
      </c>
      <c r="L61" s="358">
        <f>-'Table 5C1F-Lake Charles Charter'!T62</f>
        <v>0</v>
      </c>
      <c r="M61" s="358">
        <f>-'Table 5C1G-JS Clark Academy'!T62</f>
        <v>0</v>
      </c>
      <c r="N61" s="358">
        <f>-'Table 5C1H-Southwest LA Charter'!T62</f>
        <v>0</v>
      </c>
      <c r="O61" s="358">
        <f>-'Table 5C1I-LA Key Academy'!T62</f>
        <v>0</v>
      </c>
      <c r="P61" s="358">
        <f>-'Table 5C1J-Jefferson Chamber'!T62</f>
        <v>0</v>
      </c>
      <c r="Q61" s="358">
        <f>-'Table 5C1K-Tallulah Charter'!T62</f>
        <v>0</v>
      </c>
      <c r="R61" s="358">
        <f>-'Table 5C1L-Northshore Charter'!T62</f>
        <v>0</v>
      </c>
      <c r="S61" s="358">
        <f>-'Table 5C1M-EBR Charter'!T62</f>
        <v>0</v>
      </c>
      <c r="T61" s="358">
        <f>-'Table 5C1N-Delta Charter'!T62</f>
        <v>0</v>
      </c>
      <c r="U61" s="358">
        <f>-'Table 5C2 - LA Virtual Admy'!U59</f>
        <v>-1237</v>
      </c>
      <c r="V61" s="358">
        <f>-'Table 5C3 - LA Connections EBR'!U59</f>
        <v>-1040</v>
      </c>
      <c r="W61" s="358">
        <f>-'Table 5E_OJJ'!S62</f>
        <v>0</v>
      </c>
      <c r="X61" s="1524">
        <f t="shared" si="39"/>
        <v>-124940.323125</v>
      </c>
      <c r="Y61" s="736">
        <f t="shared" si="40"/>
        <v>952627.676875</v>
      </c>
      <c r="Z61" s="358"/>
      <c r="AA61" s="358"/>
      <c r="AB61" s="358"/>
      <c r="AC61" s="358">
        <f>'Table 5C1A-Madison Prep'!P62</f>
        <v>0</v>
      </c>
      <c r="AD61" s="358">
        <f>'Table 5C1B-DArbonne'!P62</f>
        <v>-3689.1224999999999</v>
      </c>
      <c r="AE61" s="358">
        <f>'Table 5C1C-Intl_VIBE'!P62</f>
        <v>0</v>
      </c>
      <c r="AF61" s="358">
        <f>'Table 5C1D-NOMMA'!P62</f>
        <v>0</v>
      </c>
      <c r="AG61" s="358">
        <f>'Table 5C1E-LFNO'!R62</f>
        <v>0</v>
      </c>
      <c r="AH61" s="358">
        <f>'Table 5C1F-Lake Charles Charter'!P62</f>
        <v>0</v>
      </c>
      <c r="AI61" s="358">
        <f>'Table 5C1G-JS Clark Academy'!P62</f>
        <v>0</v>
      </c>
      <c r="AJ61" s="358">
        <f>'Table 5C1H-Southwest LA Charter'!P62</f>
        <v>0</v>
      </c>
      <c r="AK61" s="358">
        <f>'Table 5C1I-LA Key Academy'!P62</f>
        <v>0</v>
      </c>
      <c r="AL61" s="358">
        <f>'Table 5C1J-Jefferson Chamber'!P62</f>
        <v>0</v>
      </c>
      <c r="AM61" s="358">
        <f>'Table 5C1K-Tallulah Charter'!P62</f>
        <v>0</v>
      </c>
      <c r="AN61" s="358">
        <f>'Table 5C1L-Northshore Charter'!P62</f>
        <v>0</v>
      </c>
      <c r="AO61" s="358">
        <f>'Table 5C1M-EBR Charter'!P62</f>
        <v>0</v>
      </c>
      <c r="AP61" s="358">
        <f>'Table 5C1N-Delta Charter'!P62</f>
        <v>0</v>
      </c>
      <c r="AQ61" s="358">
        <f>'Table 5C2 - LA Virtual Admy'!Q59</f>
        <v>-44</v>
      </c>
      <c r="AR61" s="358">
        <f>'Table 5C3 - LA Connections EBR'!Q59</f>
        <v>-31</v>
      </c>
      <c r="AS61" s="736">
        <f t="shared" si="41"/>
        <v>948863.55437499995</v>
      </c>
      <c r="AT61" s="47"/>
      <c r="AZ61"/>
      <c r="BI61"/>
    </row>
    <row r="62" spans="1:61">
      <c r="A62" s="99">
        <v>57</v>
      </c>
      <c r="B62" s="302" t="s">
        <v>148</v>
      </c>
      <c r="C62" s="311">
        <f>'Table 2_State Distrib and Adjs'!V63</f>
        <v>3951226</v>
      </c>
      <c r="D62" s="358"/>
      <c r="E62" s="358"/>
      <c r="F62" s="358">
        <f>-'Table 5C1A-Madison Prep'!T63</f>
        <v>0</v>
      </c>
      <c r="G62" s="358">
        <f>-'Table 5C1B-DArbonne'!T63</f>
        <v>0</v>
      </c>
      <c r="H62" s="358">
        <f>-'Table 5C1C-Intl_VIBE'!T63</f>
        <v>0</v>
      </c>
      <c r="I62" s="358">
        <f>-'Table 5C1D-NOMMA'!T63</f>
        <v>0</v>
      </c>
      <c r="J62" s="358"/>
      <c r="K62" s="358">
        <f>-'Table 5C1E-LFNO'!V63</f>
        <v>0</v>
      </c>
      <c r="L62" s="358">
        <f>-'Table 5C1F-Lake Charles Charter'!T63</f>
        <v>0</v>
      </c>
      <c r="M62" s="358">
        <f>-'Table 5C1G-JS Clark Academy'!T63</f>
        <v>0</v>
      </c>
      <c r="N62" s="358">
        <f>-'Table 5C1H-Southwest LA Charter'!T63</f>
        <v>0</v>
      </c>
      <c r="O62" s="358">
        <f>-'Table 5C1I-LA Key Academy'!T63</f>
        <v>0</v>
      </c>
      <c r="P62" s="358">
        <f>-'Table 5C1J-Jefferson Chamber'!T63</f>
        <v>0</v>
      </c>
      <c r="Q62" s="358">
        <f>-'Table 5C1K-Tallulah Charter'!T63</f>
        <v>0</v>
      </c>
      <c r="R62" s="358">
        <f>-'Table 5C1L-Northshore Charter'!T63</f>
        <v>0</v>
      </c>
      <c r="S62" s="358">
        <f>-'Table 5C1M-EBR Charter'!T63</f>
        <v>0</v>
      </c>
      <c r="T62" s="358">
        <f>-'Table 5C1N-Delta Charter'!T63</f>
        <v>0</v>
      </c>
      <c r="U62" s="358">
        <f>-'Table 5C2 - LA Virtual Admy'!U60</f>
        <v>-2211</v>
      </c>
      <c r="V62" s="358">
        <f>-'Table 5C3 - LA Connections EBR'!U60</f>
        <v>-1395</v>
      </c>
      <c r="W62" s="358">
        <f>-'Table 5E_OJJ'!S63</f>
        <v>-584</v>
      </c>
      <c r="X62" s="1524">
        <f t="shared" si="39"/>
        <v>-4190</v>
      </c>
      <c r="Y62" s="736">
        <f t="shared" si="40"/>
        <v>3947036</v>
      </c>
      <c r="Z62" s="358"/>
      <c r="AA62" s="358"/>
      <c r="AB62" s="358"/>
      <c r="AC62" s="358">
        <f>'Table 5C1A-Madison Prep'!P63</f>
        <v>0</v>
      </c>
      <c r="AD62" s="358">
        <f>'Table 5C1B-DArbonne'!P63</f>
        <v>0</v>
      </c>
      <c r="AE62" s="358">
        <f>'Table 5C1C-Intl_VIBE'!P63</f>
        <v>0</v>
      </c>
      <c r="AF62" s="358">
        <f>'Table 5C1D-NOMMA'!P63</f>
        <v>0</v>
      </c>
      <c r="AG62" s="358">
        <f>'Table 5C1E-LFNO'!R63</f>
        <v>0</v>
      </c>
      <c r="AH62" s="358">
        <f>'Table 5C1F-Lake Charles Charter'!P63</f>
        <v>0</v>
      </c>
      <c r="AI62" s="358">
        <f>'Table 5C1G-JS Clark Academy'!P63</f>
        <v>0</v>
      </c>
      <c r="AJ62" s="358">
        <f>'Table 5C1H-Southwest LA Charter'!P63</f>
        <v>0</v>
      </c>
      <c r="AK62" s="358">
        <f>'Table 5C1I-LA Key Academy'!P63</f>
        <v>0</v>
      </c>
      <c r="AL62" s="358">
        <f>'Table 5C1J-Jefferson Chamber'!P63</f>
        <v>0</v>
      </c>
      <c r="AM62" s="358">
        <f>'Table 5C1K-Tallulah Charter'!P63</f>
        <v>0</v>
      </c>
      <c r="AN62" s="358">
        <f>'Table 5C1L-Northshore Charter'!P63</f>
        <v>0</v>
      </c>
      <c r="AO62" s="358">
        <f>'Table 5C1M-EBR Charter'!P63</f>
        <v>0</v>
      </c>
      <c r="AP62" s="358">
        <f>'Table 5C1N-Delta Charter'!P63</f>
        <v>0</v>
      </c>
      <c r="AQ62" s="358">
        <f>'Table 5C2 - LA Virtual Admy'!Q60</f>
        <v>-70</v>
      </c>
      <c r="AR62" s="358">
        <f>'Table 5C3 - LA Connections EBR'!Q60</f>
        <v>-42</v>
      </c>
      <c r="AS62" s="736">
        <f t="shared" si="41"/>
        <v>3946924</v>
      </c>
      <c r="AT62" s="47"/>
      <c r="AZ62"/>
      <c r="BI62"/>
    </row>
    <row r="63" spans="1:61">
      <c r="A63" s="99">
        <v>58</v>
      </c>
      <c r="B63" s="302" t="s">
        <v>149</v>
      </c>
      <c r="C63" s="311">
        <f>'Table 2_State Distrib and Adjs'!V64</f>
        <v>4631908</v>
      </c>
      <c r="D63" s="358"/>
      <c r="E63" s="358"/>
      <c r="F63" s="358">
        <f>-'Table 5C1A-Madison Prep'!T64</f>
        <v>0</v>
      </c>
      <c r="G63" s="358">
        <f>-'Table 5C1B-DArbonne'!T64</f>
        <v>0</v>
      </c>
      <c r="H63" s="358">
        <f>-'Table 5C1C-Intl_VIBE'!T64</f>
        <v>0</v>
      </c>
      <c r="I63" s="358">
        <f>-'Table 5C1D-NOMMA'!T64</f>
        <v>0</v>
      </c>
      <c r="J63" s="358"/>
      <c r="K63" s="358">
        <f>-'Table 5C1E-LFNO'!V64</f>
        <v>0</v>
      </c>
      <c r="L63" s="358">
        <f>-'Table 5C1F-Lake Charles Charter'!T64</f>
        <v>0</v>
      </c>
      <c r="M63" s="358">
        <f>-'Table 5C1G-JS Clark Academy'!T64</f>
        <v>0</v>
      </c>
      <c r="N63" s="358">
        <f>-'Table 5C1H-Southwest LA Charter'!T64</f>
        <v>0</v>
      </c>
      <c r="O63" s="358">
        <f>-'Table 5C1I-LA Key Academy'!T64</f>
        <v>0</v>
      </c>
      <c r="P63" s="358">
        <f>-'Table 5C1J-Jefferson Chamber'!T64</f>
        <v>0</v>
      </c>
      <c r="Q63" s="358">
        <f>-'Table 5C1K-Tallulah Charter'!T64</f>
        <v>0</v>
      </c>
      <c r="R63" s="358">
        <f>-'Table 5C1L-Northshore Charter'!T64</f>
        <v>0</v>
      </c>
      <c r="S63" s="358">
        <f>-'Table 5C1M-EBR Charter'!T64</f>
        <v>0</v>
      </c>
      <c r="T63" s="358">
        <f>-'Table 5C1N-Delta Charter'!T64</f>
        <v>0</v>
      </c>
      <c r="U63" s="358">
        <f>-'Table 5C2 - LA Virtual Admy'!U61</f>
        <v>-5249</v>
      </c>
      <c r="V63" s="358">
        <f>-'Table 5C3 - LA Connections EBR'!U61</f>
        <v>-4409</v>
      </c>
      <c r="W63" s="358">
        <f>-'Table 5E_OJJ'!S64</f>
        <v>-118</v>
      </c>
      <c r="X63" s="1524">
        <f t="shared" si="39"/>
        <v>-9776</v>
      </c>
      <c r="Y63" s="736">
        <f t="shared" si="40"/>
        <v>4622132</v>
      </c>
      <c r="Z63" s="358"/>
      <c r="AA63" s="358"/>
      <c r="AB63" s="358"/>
      <c r="AC63" s="358">
        <f>'Table 5C1A-Madison Prep'!P64</f>
        <v>0</v>
      </c>
      <c r="AD63" s="358">
        <f>'Table 5C1B-DArbonne'!P64</f>
        <v>0</v>
      </c>
      <c r="AE63" s="358">
        <f>'Table 5C1C-Intl_VIBE'!P64</f>
        <v>0</v>
      </c>
      <c r="AF63" s="358">
        <f>'Table 5C1D-NOMMA'!P64</f>
        <v>0</v>
      </c>
      <c r="AG63" s="358">
        <f>'Table 5C1E-LFNO'!R64</f>
        <v>0</v>
      </c>
      <c r="AH63" s="358">
        <f>'Table 5C1F-Lake Charles Charter'!P64</f>
        <v>0</v>
      </c>
      <c r="AI63" s="358">
        <f>'Table 5C1G-JS Clark Academy'!P64</f>
        <v>0</v>
      </c>
      <c r="AJ63" s="358">
        <f>'Table 5C1H-Southwest LA Charter'!P64</f>
        <v>0</v>
      </c>
      <c r="AK63" s="358">
        <f>'Table 5C1I-LA Key Academy'!P64</f>
        <v>0</v>
      </c>
      <c r="AL63" s="358">
        <f>'Table 5C1J-Jefferson Chamber'!P64</f>
        <v>0</v>
      </c>
      <c r="AM63" s="358">
        <f>'Table 5C1K-Tallulah Charter'!P64</f>
        <v>0</v>
      </c>
      <c r="AN63" s="358">
        <f>'Table 5C1L-Northshore Charter'!P64</f>
        <v>0</v>
      </c>
      <c r="AO63" s="358">
        <f>'Table 5C1M-EBR Charter'!P64</f>
        <v>0</v>
      </c>
      <c r="AP63" s="358">
        <f>'Table 5C1N-Delta Charter'!P64</f>
        <v>0</v>
      </c>
      <c r="AQ63" s="358">
        <f>'Table 5C2 - LA Virtual Admy'!Q61</f>
        <v>-142</v>
      </c>
      <c r="AR63" s="358">
        <f>'Table 5C3 - LA Connections EBR'!Q61</f>
        <v>-133</v>
      </c>
      <c r="AS63" s="736">
        <f t="shared" si="41"/>
        <v>4621857</v>
      </c>
      <c r="AT63" s="47"/>
      <c r="AZ63"/>
      <c r="BI63"/>
    </row>
    <row r="64" spans="1:61">
      <c r="A64" s="99">
        <v>59</v>
      </c>
      <c r="B64" s="302" t="s">
        <v>150</v>
      </c>
      <c r="C64" s="311">
        <f>'Table 2_State Distrib and Adjs'!V65</f>
        <v>3029252</v>
      </c>
      <c r="D64" s="358"/>
      <c r="E64" s="358"/>
      <c r="F64" s="358">
        <f>-'Table 5C1A-Madison Prep'!T65</f>
        <v>0</v>
      </c>
      <c r="G64" s="358">
        <f>-'Table 5C1B-DArbonne'!T65</f>
        <v>0</v>
      </c>
      <c r="H64" s="358">
        <f>-'Table 5C1C-Intl_VIBE'!T65</f>
        <v>0</v>
      </c>
      <c r="I64" s="358">
        <f>-'Table 5C1D-NOMMA'!T65</f>
        <v>0</v>
      </c>
      <c r="J64" s="358"/>
      <c r="K64" s="358">
        <f>-'Table 5C1E-LFNO'!V65</f>
        <v>0</v>
      </c>
      <c r="L64" s="358">
        <f>-'Table 5C1F-Lake Charles Charter'!T65</f>
        <v>0</v>
      </c>
      <c r="M64" s="358">
        <f>-'Table 5C1G-JS Clark Academy'!T65</f>
        <v>0</v>
      </c>
      <c r="N64" s="358">
        <f>-'Table 5C1H-Southwest LA Charter'!T65</f>
        <v>0</v>
      </c>
      <c r="O64" s="358">
        <f>-'Table 5C1I-LA Key Academy'!T65</f>
        <v>0</v>
      </c>
      <c r="P64" s="358">
        <f>-'Table 5C1J-Jefferson Chamber'!T65</f>
        <v>0</v>
      </c>
      <c r="Q64" s="358">
        <f>-'Table 5C1K-Tallulah Charter'!T65</f>
        <v>0</v>
      </c>
      <c r="R64" s="358">
        <f>-'Table 5C1L-Northshore Charter'!T65</f>
        <v>-14434.65625</v>
      </c>
      <c r="S64" s="358">
        <f>-'Table 5C1M-EBR Charter'!T65</f>
        <v>0</v>
      </c>
      <c r="T64" s="358">
        <f>-'Table 5C1N-Delta Charter'!T65</f>
        <v>0</v>
      </c>
      <c r="U64" s="358">
        <f>-'Table 5C2 - LA Virtual Admy'!U62</f>
        <v>-1530</v>
      </c>
      <c r="V64" s="358">
        <f>-'Table 5C3 - LA Connections EBR'!U62</f>
        <v>-1582</v>
      </c>
      <c r="W64" s="358">
        <f>-'Table 5E_OJJ'!S65</f>
        <v>-424</v>
      </c>
      <c r="X64" s="1524">
        <f t="shared" si="39"/>
        <v>-17970.65625</v>
      </c>
      <c r="Y64" s="736">
        <f t="shared" si="40"/>
        <v>3011281.34375</v>
      </c>
      <c r="Z64" s="358"/>
      <c r="AA64" s="358"/>
      <c r="AB64" s="358"/>
      <c r="AC64" s="358">
        <f>'Table 5C1A-Madison Prep'!P65</f>
        <v>0</v>
      </c>
      <c r="AD64" s="358">
        <f>'Table 5C1B-DArbonne'!P65</f>
        <v>0</v>
      </c>
      <c r="AE64" s="358">
        <f>'Table 5C1C-Intl_VIBE'!P65</f>
        <v>0</v>
      </c>
      <c r="AF64" s="358">
        <f>'Table 5C1D-NOMMA'!P65</f>
        <v>0</v>
      </c>
      <c r="AG64" s="358">
        <f>'Table 5C1E-LFNO'!R65</f>
        <v>0</v>
      </c>
      <c r="AH64" s="358">
        <f>'Table 5C1F-Lake Charles Charter'!P65</f>
        <v>0</v>
      </c>
      <c r="AI64" s="358">
        <f>'Table 5C1G-JS Clark Academy'!P65</f>
        <v>0</v>
      </c>
      <c r="AJ64" s="358">
        <f>'Table 5C1H-Southwest LA Charter'!P65</f>
        <v>0</v>
      </c>
      <c r="AK64" s="358">
        <f>'Table 5C1I-LA Key Academy'!P65</f>
        <v>0</v>
      </c>
      <c r="AL64" s="358">
        <f>'Table 5C1J-Jefferson Chamber'!P65</f>
        <v>0</v>
      </c>
      <c r="AM64" s="358">
        <f>'Table 5C1K-Tallulah Charter'!P65</f>
        <v>0</v>
      </c>
      <c r="AN64" s="358">
        <f>'Table 5C1L-Northshore Charter'!P65</f>
        <v>-434.125</v>
      </c>
      <c r="AO64" s="358">
        <f>'Table 5C1M-EBR Charter'!P65</f>
        <v>0</v>
      </c>
      <c r="AP64" s="358">
        <f>'Table 5C1N-Delta Charter'!P65</f>
        <v>0</v>
      </c>
      <c r="AQ64" s="358">
        <f>'Table 5C2 - LA Virtual Admy'!Q62</f>
        <v>-44</v>
      </c>
      <c r="AR64" s="358">
        <f>'Table 5C3 - LA Connections EBR'!Q62</f>
        <v>-48</v>
      </c>
      <c r="AS64" s="736">
        <f t="shared" si="41"/>
        <v>3010755.21875</v>
      </c>
      <c r="AT64" s="47"/>
      <c r="AZ64"/>
      <c r="BI64"/>
    </row>
    <row r="65" spans="1:61">
      <c r="A65" s="100">
        <v>60</v>
      </c>
      <c r="B65" s="303" t="s">
        <v>151</v>
      </c>
      <c r="C65" s="319">
        <f>'Table 2_State Distrib and Adjs'!V66</f>
        <v>2974431</v>
      </c>
      <c r="D65" s="359"/>
      <c r="E65" s="359"/>
      <c r="F65" s="359">
        <f>-'Table 5C1A-Madison Prep'!T66</f>
        <v>0</v>
      </c>
      <c r="G65" s="359">
        <f>-'Table 5C1B-DArbonne'!T66</f>
        <v>0</v>
      </c>
      <c r="H65" s="359">
        <f>-'Table 5C1C-Intl_VIBE'!T66</f>
        <v>0</v>
      </c>
      <c r="I65" s="359">
        <f>-'Table 5C1D-NOMMA'!T66</f>
        <v>0</v>
      </c>
      <c r="J65" s="359"/>
      <c r="K65" s="359">
        <f>-'Table 5C1E-LFNO'!V66</f>
        <v>0</v>
      </c>
      <c r="L65" s="359">
        <f>-'Table 5C1F-Lake Charles Charter'!T66</f>
        <v>0</v>
      </c>
      <c r="M65" s="359">
        <f>-'Table 5C1G-JS Clark Academy'!T66</f>
        <v>0</v>
      </c>
      <c r="N65" s="359">
        <f>-'Table 5C1H-Southwest LA Charter'!T66</f>
        <v>0</v>
      </c>
      <c r="O65" s="359">
        <f>-'Table 5C1I-LA Key Academy'!T66</f>
        <v>0</v>
      </c>
      <c r="P65" s="359">
        <f>-'Table 5C1J-Jefferson Chamber'!T66</f>
        <v>0</v>
      </c>
      <c r="Q65" s="359">
        <f>-'Table 5C1K-Tallulah Charter'!T66</f>
        <v>0</v>
      </c>
      <c r="R65" s="359">
        <f>-'Table 5C1L-Northshore Charter'!T66</f>
        <v>0</v>
      </c>
      <c r="S65" s="359">
        <f>-'Table 5C1M-EBR Charter'!T66</f>
        <v>0</v>
      </c>
      <c r="T65" s="359">
        <f>-'Table 5C1N-Delta Charter'!T66</f>
        <v>0</v>
      </c>
      <c r="U65" s="359">
        <f>-'Table 5C2 - LA Virtual Admy'!U63</f>
        <v>-4245</v>
      </c>
      <c r="V65" s="359">
        <f>-'Table 5C3 - LA Connections EBR'!U63</f>
        <v>-7378</v>
      </c>
      <c r="W65" s="359">
        <f>-'Table 5E_OJJ'!S66</f>
        <v>-1063</v>
      </c>
      <c r="X65" s="359">
        <f t="shared" si="39"/>
        <v>-12686</v>
      </c>
      <c r="Y65" s="737">
        <f t="shared" si="40"/>
        <v>2961745</v>
      </c>
      <c r="Z65" s="359"/>
      <c r="AA65" s="359"/>
      <c r="AB65" s="359"/>
      <c r="AC65" s="359">
        <f>'Table 5C1A-Madison Prep'!P66</f>
        <v>0</v>
      </c>
      <c r="AD65" s="359">
        <f>'Table 5C1B-DArbonne'!P66</f>
        <v>0</v>
      </c>
      <c r="AE65" s="359">
        <f>'Table 5C1C-Intl_VIBE'!P66</f>
        <v>0</v>
      </c>
      <c r="AF65" s="359">
        <f>'Table 5C1D-NOMMA'!P66</f>
        <v>0</v>
      </c>
      <c r="AG65" s="359">
        <f>'Table 5C1E-LFNO'!R66</f>
        <v>0</v>
      </c>
      <c r="AH65" s="359">
        <f>'Table 5C1F-Lake Charles Charter'!P66</f>
        <v>0</v>
      </c>
      <c r="AI65" s="359">
        <f>'Table 5C1G-JS Clark Academy'!P66</f>
        <v>0</v>
      </c>
      <c r="AJ65" s="359">
        <f>'Table 5C1H-Southwest LA Charter'!P66</f>
        <v>0</v>
      </c>
      <c r="AK65" s="359">
        <f>'Table 5C1I-LA Key Academy'!P66</f>
        <v>0</v>
      </c>
      <c r="AL65" s="359">
        <f>'Table 5C1J-Jefferson Chamber'!P66</f>
        <v>0</v>
      </c>
      <c r="AM65" s="359">
        <f>'Table 5C1K-Tallulah Charter'!P66</f>
        <v>0</v>
      </c>
      <c r="AN65" s="359">
        <f>'Table 5C1L-Northshore Charter'!P66</f>
        <v>0</v>
      </c>
      <c r="AO65" s="359">
        <f>'Table 5C1M-EBR Charter'!P66</f>
        <v>0</v>
      </c>
      <c r="AP65" s="359">
        <f>'Table 5C1N-Delta Charter'!P66</f>
        <v>0</v>
      </c>
      <c r="AQ65" s="359">
        <f>'Table 5C2 - LA Virtual Admy'!Q63</f>
        <v>-145</v>
      </c>
      <c r="AR65" s="359">
        <f>'Table 5C3 - LA Connections EBR'!Q63</f>
        <v>-222</v>
      </c>
      <c r="AS65" s="737">
        <f t="shared" si="41"/>
        <v>2961378</v>
      </c>
      <c r="AT65" s="47"/>
      <c r="AZ65"/>
      <c r="BI65"/>
    </row>
    <row r="66" spans="1:61">
      <c r="A66" s="99">
        <v>61</v>
      </c>
      <c r="B66" s="302" t="s">
        <v>152</v>
      </c>
      <c r="C66" s="311">
        <f>'Table 2_State Distrib and Adjs'!V67</f>
        <v>1123771</v>
      </c>
      <c r="D66" s="358"/>
      <c r="E66" s="358"/>
      <c r="F66" s="358">
        <f>-'Table 5C1A-Madison Prep'!T67</f>
        <v>-546.13125000000002</v>
      </c>
      <c r="G66" s="358">
        <f>-'Table 5C1B-DArbonne'!T67</f>
        <v>0</v>
      </c>
      <c r="H66" s="358">
        <f>-'Table 5C1C-Intl_VIBE'!T67</f>
        <v>0</v>
      </c>
      <c r="I66" s="358">
        <f>-'Table 5C1D-NOMMA'!T67</f>
        <v>0</v>
      </c>
      <c r="J66" s="358"/>
      <c r="K66" s="358">
        <f>-'Table 5C1E-LFNO'!V67</f>
        <v>0</v>
      </c>
      <c r="L66" s="358">
        <f>-'Table 5C1F-Lake Charles Charter'!T67</f>
        <v>0</v>
      </c>
      <c r="M66" s="358">
        <f>-'Table 5C1G-JS Clark Academy'!T67</f>
        <v>0</v>
      </c>
      <c r="N66" s="358">
        <f>-'Table 5C1H-Southwest LA Charter'!T67</f>
        <v>0</v>
      </c>
      <c r="O66" s="358">
        <f>-'Table 5C1I-LA Key Academy'!T67</f>
        <v>0</v>
      </c>
      <c r="P66" s="358">
        <f>-'Table 5C1J-Jefferson Chamber'!T67</f>
        <v>0</v>
      </c>
      <c r="Q66" s="358">
        <f>-'Table 5C1K-Tallulah Charter'!T67</f>
        <v>0</v>
      </c>
      <c r="R66" s="358">
        <f>-'Table 5C1L-Northshore Charter'!T67</f>
        <v>0</v>
      </c>
      <c r="S66" s="358">
        <f>-'Table 5C1M-EBR Charter'!T67</f>
        <v>0</v>
      </c>
      <c r="T66" s="358">
        <f>-'Table 5C1N-Delta Charter'!T67</f>
        <v>0</v>
      </c>
      <c r="U66" s="358">
        <f>-'Table 5C2 - LA Virtual Admy'!U64</f>
        <v>-3402</v>
      </c>
      <c r="V66" s="358">
        <f>-'Table 5C3 - LA Connections EBR'!U64</f>
        <v>-4424</v>
      </c>
      <c r="W66" s="358">
        <f>-'Table 5E_OJJ'!S67</f>
        <v>-1047</v>
      </c>
      <c r="X66" s="1524">
        <f t="shared" si="39"/>
        <v>-9419.1312500000004</v>
      </c>
      <c r="Y66" s="736">
        <f t="shared" si="40"/>
        <v>1114351.8687499999</v>
      </c>
      <c r="Z66" s="358"/>
      <c r="AA66" s="358"/>
      <c r="AB66" s="358"/>
      <c r="AC66" s="358">
        <f>'Table 5C1A-Madison Prep'!P67</f>
        <v>-16.425000000000001</v>
      </c>
      <c r="AD66" s="358">
        <f>'Table 5C1B-DArbonne'!P67</f>
        <v>0</v>
      </c>
      <c r="AE66" s="358">
        <f>'Table 5C1C-Intl_VIBE'!P67</f>
        <v>0</v>
      </c>
      <c r="AF66" s="358">
        <f>'Table 5C1D-NOMMA'!P67</f>
        <v>0</v>
      </c>
      <c r="AG66" s="358">
        <f>'Table 5C1E-LFNO'!R67</f>
        <v>0</v>
      </c>
      <c r="AH66" s="358">
        <f>'Table 5C1F-Lake Charles Charter'!P67</f>
        <v>0</v>
      </c>
      <c r="AI66" s="358">
        <f>'Table 5C1G-JS Clark Academy'!P67</f>
        <v>0</v>
      </c>
      <c r="AJ66" s="358">
        <f>'Table 5C1H-Southwest LA Charter'!P67</f>
        <v>0</v>
      </c>
      <c r="AK66" s="358">
        <f>'Table 5C1I-LA Key Academy'!P67</f>
        <v>0</v>
      </c>
      <c r="AL66" s="358">
        <f>'Table 5C1J-Jefferson Chamber'!P67</f>
        <v>0</v>
      </c>
      <c r="AM66" s="358">
        <f>'Table 5C1K-Tallulah Charter'!P67</f>
        <v>0</v>
      </c>
      <c r="AN66" s="358">
        <f>'Table 5C1L-Northshore Charter'!P67</f>
        <v>0</v>
      </c>
      <c r="AO66" s="358">
        <f>'Table 5C1M-EBR Charter'!P67</f>
        <v>0</v>
      </c>
      <c r="AP66" s="358">
        <f>'Table 5C1N-Delta Charter'!P67</f>
        <v>0</v>
      </c>
      <c r="AQ66" s="358">
        <f>'Table 5C2 - LA Virtual Admy'!Q64</f>
        <v>-89</v>
      </c>
      <c r="AR66" s="358">
        <f>'Table 5C3 - LA Connections EBR'!Q64</f>
        <v>-133</v>
      </c>
      <c r="AS66" s="736">
        <f t="shared" si="41"/>
        <v>1114113.4437499999</v>
      </c>
      <c r="AT66" s="47"/>
      <c r="AZ66"/>
      <c r="BI66"/>
    </row>
    <row r="67" spans="1:61">
      <c r="A67" s="99">
        <v>62</v>
      </c>
      <c r="B67" s="302" t="s">
        <v>153</v>
      </c>
      <c r="C67" s="311">
        <f>'Table 2_State Distrib and Adjs'!V68</f>
        <v>1080986</v>
      </c>
      <c r="D67" s="358"/>
      <c r="E67" s="358"/>
      <c r="F67" s="358">
        <f>-'Table 5C1A-Madison Prep'!T68</f>
        <v>0</v>
      </c>
      <c r="G67" s="358">
        <f>-'Table 5C1B-DArbonne'!T68</f>
        <v>0</v>
      </c>
      <c r="H67" s="358">
        <f>-'Table 5C1C-Intl_VIBE'!T68</f>
        <v>0</v>
      </c>
      <c r="I67" s="358">
        <f>-'Table 5C1D-NOMMA'!T68</f>
        <v>0</v>
      </c>
      <c r="J67" s="358"/>
      <c r="K67" s="358">
        <f>-'Table 5C1E-LFNO'!V68</f>
        <v>0</v>
      </c>
      <c r="L67" s="358">
        <f>-'Table 5C1F-Lake Charles Charter'!T68</f>
        <v>0</v>
      </c>
      <c r="M67" s="358">
        <f>-'Table 5C1G-JS Clark Academy'!T68</f>
        <v>0</v>
      </c>
      <c r="N67" s="358">
        <f>-'Table 5C1H-Southwest LA Charter'!T68</f>
        <v>0</v>
      </c>
      <c r="O67" s="358">
        <f>-'Table 5C1I-LA Key Academy'!T68</f>
        <v>0</v>
      </c>
      <c r="P67" s="358">
        <f>-'Table 5C1J-Jefferson Chamber'!T68</f>
        <v>0</v>
      </c>
      <c r="Q67" s="358">
        <f>-'Table 5C1K-Tallulah Charter'!T68</f>
        <v>0</v>
      </c>
      <c r="R67" s="358">
        <f>-'Table 5C1L-Northshore Charter'!T68</f>
        <v>0</v>
      </c>
      <c r="S67" s="358">
        <f>-'Table 5C1M-EBR Charter'!T68</f>
        <v>0</v>
      </c>
      <c r="T67" s="358">
        <f>-'Table 5C1N-Delta Charter'!T68</f>
        <v>0</v>
      </c>
      <c r="U67" s="358">
        <f>-'Table 5C2 - LA Virtual Admy'!U65</f>
        <v>-82</v>
      </c>
      <c r="V67" s="358">
        <f>-'Table 5C3 - LA Connections EBR'!U65</f>
        <v>-145</v>
      </c>
      <c r="W67" s="358">
        <f>-'Table 5E_OJJ'!S68</f>
        <v>-13</v>
      </c>
      <c r="X67" s="1524">
        <f t="shared" si="39"/>
        <v>-240</v>
      </c>
      <c r="Y67" s="736">
        <f t="shared" si="40"/>
        <v>1080746</v>
      </c>
      <c r="Z67" s="358"/>
      <c r="AA67" s="358"/>
      <c r="AB67" s="358"/>
      <c r="AC67" s="358">
        <f>'Table 5C1A-Madison Prep'!P68</f>
        <v>0</v>
      </c>
      <c r="AD67" s="358">
        <f>'Table 5C1B-DArbonne'!P68</f>
        <v>0</v>
      </c>
      <c r="AE67" s="358">
        <f>'Table 5C1C-Intl_VIBE'!P68</f>
        <v>0</v>
      </c>
      <c r="AF67" s="358">
        <f>'Table 5C1D-NOMMA'!P68</f>
        <v>0</v>
      </c>
      <c r="AG67" s="358">
        <f>'Table 5C1E-LFNO'!R68</f>
        <v>0</v>
      </c>
      <c r="AH67" s="358">
        <f>'Table 5C1F-Lake Charles Charter'!P68</f>
        <v>0</v>
      </c>
      <c r="AI67" s="358">
        <f>'Table 5C1G-JS Clark Academy'!P68</f>
        <v>0</v>
      </c>
      <c r="AJ67" s="358">
        <f>'Table 5C1H-Southwest LA Charter'!P68</f>
        <v>0</v>
      </c>
      <c r="AK67" s="358">
        <f>'Table 5C1I-LA Key Academy'!P68</f>
        <v>0</v>
      </c>
      <c r="AL67" s="358">
        <f>'Table 5C1J-Jefferson Chamber'!P68</f>
        <v>0</v>
      </c>
      <c r="AM67" s="358">
        <f>'Table 5C1K-Tallulah Charter'!P68</f>
        <v>0</v>
      </c>
      <c r="AN67" s="358">
        <f>'Table 5C1L-Northshore Charter'!P68</f>
        <v>0</v>
      </c>
      <c r="AO67" s="358">
        <f>'Table 5C1M-EBR Charter'!P68</f>
        <v>0</v>
      </c>
      <c r="AP67" s="358">
        <f>'Table 5C1N-Delta Charter'!P68</f>
        <v>0</v>
      </c>
      <c r="AQ67" s="358">
        <f>'Table 5C2 - LA Virtual Admy'!Q65</f>
        <v>-4</v>
      </c>
      <c r="AR67" s="358">
        <f>'Table 5C3 - LA Connections EBR'!Q65</f>
        <v>-4</v>
      </c>
      <c r="AS67" s="736">
        <f t="shared" si="41"/>
        <v>1080738</v>
      </c>
      <c r="AT67" s="47"/>
      <c r="AZ67"/>
      <c r="BI67"/>
    </row>
    <row r="68" spans="1:61">
      <c r="A68" s="99">
        <v>63</v>
      </c>
      <c r="B68" s="302" t="s">
        <v>154</v>
      </c>
      <c r="C68" s="311">
        <f>'Table 2_State Distrib and Adjs'!V69</f>
        <v>868966</v>
      </c>
      <c r="D68" s="358"/>
      <c r="E68" s="358"/>
      <c r="F68" s="358">
        <f>-'Table 5C1A-Madison Prep'!T69</f>
        <v>0</v>
      </c>
      <c r="G68" s="358">
        <f>-'Table 5C1B-DArbonne'!T69</f>
        <v>0</v>
      </c>
      <c r="H68" s="358">
        <f>-'Table 5C1C-Intl_VIBE'!T69</f>
        <v>0</v>
      </c>
      <c r="I68" s="358">
        <f>-'Table 5C1D-NOMMA'!T69</f>
        <v>0</v>
      </c>
      <c r="J68" s="358"/>
      <c r="K68" s="358">
        <f>-'Table 5C1E-LFNO'!V69</f>
        <v>0</v>
      </c>
      <c r="L68" s="358">
        <f>-'Table 5C1F-Lake Charles Charter'!T69</f>
        <v>0</v>
      </c>
      <c r="M68" s="358">
        <f>-'Table 5C1G-JS Clark Academy'!T69</f>
        <v>0</v>
      </c>
      <c r="N68" s="358">
        <f>-'Table 5C1H-Southwest LA Charter'!T69</f>
        <v>0</v>
      </c>
      <c r="O68" s="358">
        <f>-'Table 5C1I-LA Key Academy'!T69</f>
        <v>0</v>
      </c>
      <c r="P68" s="358">
        <f>-'Table 5C1J-Jefferson Chamber'!T69</f>
        <v>0</v>
      </c>
      <c r="Q68" s="358">
        <f>-'Table 5C1K-Tallulah Charter'!T69</f>
        <v>0</v>
      </c>
      <c r="R68" s="358">
        <f>-'Table 5C1L-Northshore Charter'!T69</f>
        <v>0</v>
      </c>
      <c r="S68" s="358">
        <f>-'Table 5C1M-EBR Charter'!T69</f>
        <v>0</v>
      </c>
      <c r="T68" s="358">
        <f>-'Table 5C1N-Delta Charter'!T69</f>
        <v>0</v>
      </c>
      <c r="U68" s="358">
        <f>-'Table 5C2 - LA Virtual Admy'!U66</f>
        <v>1571</v>
      </c>
      <c r="V68" s="358">
        <f>-'Table 5C3 - LA Connections EBR'!U66</f>
        <v>-508</v>
      </c>
      <c r="W68" s="358">
        <f>-'Table 5E_OJJ'!S69</f>
        <v>0</v>
      </c>
      <c r="X68" s="1524">
        <f t="shared" si="39"/>
        <v>1063</v>
      </c>
      <c r="Y68" s="736">
        <f t="shared" si="40"/>
        <v>870029</v>
      </c>
      <c r="Z68" s="358"/>
      <c r="AA68" s="358"/>
      <c r="AB68" s="358"/>
      <c r="AC68" s="358">
        <f>'Table 5C1A-Madison Prep'!P69</f>
        <v>0</v>
      </c>
      <c r="AD68" s="358">
        <f>'Table 5C1B-DArbonne'!P69</f>
        <v>0</v>
      </c>
      <c r="AE68" s="358">
        <f>'Table 5C1C-Intl_VIBE'!P69</f>
        <v>0</v>
      </c>
      <c r="AF68" s="358">
        <f>'Table 5C1D-NOMMA'!P69</f>
        <v>0</v>
      </c>
      <c r="AG68" s="358">
        <f>'Table 5C1E-LFNO'!R69</f>
        <v>0</v>
      </c>
      <c r="AH68" s="358">
        <f>'Table 5C1F-Lake Charles Charter'!P69</f>
        <v>0</v>
      </c>
      <c r="AI68" s="358">
        <f>'Table 5C1G-JS Clark Academy'!P69</f>
        <v>0</v>
      </c>
      <c r="AJ68" s="358">
        <f>'Table 5C1H-Southwest LA Charter'!P69</f>
        <v>0</v>
      </c>
      <c r="AK68" s="358">
        <f>'Table 5C1I-LA Key Academy'!P69</f>
        <v>0</v>
      </c>
      <c r="AL68" s="358">
        <f>'Table 5C1J-Jefferson Chamber'!P69</f>
        <v>0</v>
      </c>
      <c r="AM68" s="358">
        <f>'Table 5C1K-Tallulah Charter'!P69</f>
        <v>0</v>
      </c>
      <c r="AN68" s="358">
        <f>'Table 5C1L-Northshore Charter'!P69</f>
        <v>0</v>
      </c>
      <c r="AO68" s="358">
        <f>'Table 5C1M-EBR Charter'!P69</f>
        <v>0</v>
      </c>
      <c r="AP68" s="358">
        <f>'Table 5C1N-Delta Charter'!P69</f>
        <v>0</v>
      </c>
      <c r="AQ68" s="358">
        <f>'Table 5C2 - LA Virtual Admy'!Q66</f>
        <v>0</v>
      </c>
      <c r="AR68" s="358">
        <f>'Table 5C3 - LA Connections EBR'!Q66</f>
        <v>-15</v>
      </c>
      <c r="AS68" s="736">
        <f t="shared" si="41"/>
        <v>870014</v>
      </c>
      <c r="AT68" s="47"/>
      <c r="AZ68"/>
      <c r="BI68"/>
    </row>
    <row r="69" spans="1:61">
      <c r="A69" s="99">
        <v>64</v>
      </c>
      <c r="B69" s="302" t="s">
        <v>155</v>
      </c>
      <c r="C69" s="311">
        <f>'Table 2_State Distrib and Adjs'!V70</f>
        <v>1305092</v>
      </c>
      <c r="D69" s="358"/>
      <c r="E69" s="358"/>
      <c r="F69" s="358">
        <f>-'Table 5C1A-Madison Prep'!T70</f>
        <v>0</v>
      </c>
      <c r="G69" s="358">
        <f>-'Table 5C1B-DArbonne'!T70</f>
        <v>0</v>
      </c>
      <c r="H69" s="358">
        <f>-'Table 5C1C-Intl_VIBE'!T70</f>
        <v>0</v>
      </c>
      <c r="I69" s="358">
        <f>-'Table 5C1D-NOMMA'!T70</f>
        <v>0</v>
      </c>
      <c r="J69" s="358"/>
      <c r="K69" s="358">
        <f>-'Table 5C1E-LFNO'!V70</f>
        <v>0</v>
      </c>
      <c r="L69" s="358">
        <f>-'Table 5C1F-Lake Charles Charter'!T70</f>
        <v>0</v>
      </c>
      <c r="M69" s="358">
        <f>-'Table 5C1G-JS Clark Academy'!T70</f>
        <v>0</v>
      </c>
      <c r="N69" s="358">
        <f>-'Table 5C1H-Southwest LA Charter'!T70</f>
        <v>0</v>
      </c>
      <c r="O69" s="358">
        <f>-'Table 5C1I-LA Key Academy'!T70</f>
        <v>0</v>
      </c>
      <c r="P69" s="358">
        <f>-'Table 5C1J-Jefferson Chamber'!T70</f>
        <v>0</v>
      </c>
      <c r="Q69" s="358">
        <f>-'Table 5C1K-Tallulah Charter'!T70</f>
        <v>0</v>
      </c>
      <c r="R69" s="358">
        <f>-'Table 5C1L-Northshore Charter'!T70</f>
        <v>0</v>
      </c>
      <c r="S69" s="358">
        <f>-'Table 5C1M-EBR Charter'!T70</f>
        <v>0</v>
      </c>
      <c r="T69" s="358">
        <f>-'Table 5C1N-Delta Charter'!T70</f>
        <v>0</v>
      </c>
      <c r="U69" s="358">
        <f>-'Table 5C2 - LA Virtual Admy'!U67</f>
        <v>-217</v>
      </c>
      <c r="V69" s="358">
        <f>-'Table 5C3 - LA Connections EBR'!U67</f>
        <v>-868</v>
      </c>
      <c r="W69" s="358">
        <f>-'Table 5E_OJJ'!S70</f>
        <v>-127</v>
      </c>
      <c r="X69" s="1524">
        <f t="shared" si="39"/>
        <v>-1212</v>
      </c>
      <c r="Y69" s="736">
        <f t="shared" si="40"/>
        <v>1303880</v>
      </c>
      <c r="Z69" s="358"/>
      <c r="AA69" s="358"/>
      <c r="AB69" s="358"/>
      <c r="AC69" s="358">
        <f>'Table 5C1A-Madison Prep'!P70</f>
        <v>0</v>
      </c>
      <c r="AD69" s="358">
        <f>'Table 5C1B-DArbonne'!P70</f>
        <v>0</v>
      </c>
      <c r="AE69" s="358">
        <f>'Table 5C1C-Intl_VIBE'!P70</f>
        <v>0</v>
      </c>
      <c r="AF69" s="358">
        <f>'Table 5C1D-NOMMA'!P70</f>
        <v>0</v>
      </c>
      <c r="AG69" s="358">
        <f>'Table 5C1E-LFNO'!R70</f>
        <v>0</v>
      </c>
      <c r="AH69" s="358">
        <f>'Table 5C1F-Lake Charles Charter'!P70</f>
        <v>0</v>
      </c>
      <c r="AI69" s="358">
        <f>'Table 5C1G-JS Clark Academy'!P70</f>
        <v>0</v>
      </c>
      <c r="AJ69" s="358">
        <f>'Table 5C1H-Southwest LA Charter'!P70</f>
        <v>0</v>
      </c>
      <c r="AK69" s="358">
        <f>'Table 5C1I-LA Key Academy'!P70</f>
        <v>0</v>
      </c>
      <c r="AL69" s="358">
        <f>'Table 5C1J-Jefferson Chamber'!P70</f>
        <v>0</v>
      </c>
      <c r="AM69" s="358">
        <f>'Table 5C1K-Tallulah Charter'!P70</f>
        <v>0</v>
      </c>
      <c r="AN69" s="358">
        <f>'Table 5C1L-Northshore Charter'!P70</f>
        <v>0</v>
      </c>
      <c r="AO69" s="358">
        <f>'Table 5C1M-EBR Charter'!P70</f>
        <v>0</v>
      </c>
      <c r="AP69" s="358">
        <f>'Table 5C1N-Delta Charter'!P70</f>
        <v>0</v>
      </c>
      <c r="AQ69" s="358">
        <f>'Table 5C2 - LA Virtual Admy'!Q67</f>
        <v>-7</v>
      </c>
      <c r="AR69" s="358">
        <f>'Table 5C3 - LA Connections EBR'!Q67</f>
        <v>-26</v>
      </c>
      <c r="AS69" s="736">
        <f t="shared" si="41"/>
        <v>1303847</v>
      </c>
      <c r="AT69" s="47"/>
      <c r="AZ69"/>
      <c r="BI69"/>
    </row>
    <row r="70" spans="1:61">
      <c r="A70" s="100">
        <v>65</v>
      </c>
      <c r="B70" s="303" t="s">
        <v>156</v>
      </c>
      <c r="C70" s="319">
        <f>'Table 2_State Distrib and Adjs'!V71</f>
        <v>3714205</v>
      </c>
      <c r="D70" s="359"/>
      <c r="E70" s="359"/>
      <c r="F70" s="359">
        <f>-'Table 5C1A-Madison Prep'!T71</f>
        <v>0</v>
      </c>
      <c r="G70" s="359">
        <f>-'Table 5C1B-DArbonne'!T71</f>
        <v>-1247.1243750000001</v>
      </c>
      <c r="H70" s="359">
        <f>-'Table 5C1C-Intl_VIBE'!T71</f>
        <v>0</v>
      </c>
      <c r="I70" s="359">
        <f>-'Table 5C1D-NOMMA'!T71</f>
        <v>0</v>
      </c>
      <c r="J70" s="359"/>
      <c r="K70" s="359">
        <f>-'Table 5C1E-LFNO'!V71</f>
        <v>0</v>
      </c>
      <c r="L70" s="359">
        <f>-'Table 5C1F-Lake Charles Charter'!T71</f>
        <v>0</v>
      </c>
      <c r="M70" s="359">
        <f>-'Table 5C1G-JS Clark Academy'!T71</f>
        <v>0</v>
      </c>
      <c r="N70" s="359">
        <f>-'Table 5C1H-Southwest LA Charter'!T71</f>
        <v>0</v>
      </c>
      <c r="O70" s="359">
        <f>-'Table 5C1I-LA Key Academy'!T71</f>
        <v>0</v>
      </c>
      <c r="P70" s="359">
        <f>-'Table 5C1J-Jefferson Chamber'!T71</f>
        <v>0</v>
      </c>
      <c r="Q70" s="359">
        <f>-'Table 5C1K-Tallulah Charter'!T71</f>
        <v>0</v>
      </c>
      <c r="R70" s="359">
        <f>-'Table 5C1L-Northshore Charter'!T71</f>
        <v>0</v>
      </c>
      <c r="S70" s="359">
        <f>-'Table 5C1M-EBR Charter'!T71</f>
        <v>0</v>
      </c>
      <c r="T70" s="359">
        <f>-'Table 5C1N-Delta Charter'!T71</f>
        <v>0</v>
      </c>
      <c r="U70" s="359">
        <f>-'Table 5C2 - LA Virtual Admy'!U68</f>
        <v>701</v>
      </c>
      <c r="V70" s="359">
        <f>-'Table 5C3 - LA Connections EBR'!U68</f>
        <v>-1497</v>
      </c>
      <c r="W70" s="359">
        <f>-'Table 5E_OJJ'!S71</f>
        <v>-295</v>
      </c>
      <c r="X70" s="359">
        <f t="shared" si="39"/>
        <v>-2338.1243750000003</v>
      </c>
      <c r="Y70" s="737">
        <f t="shared" si="40"/>
        <v>3711866.8756249999</v>
      </c>
      <c r="Z70" s="359"/>
      <c r="AA70" s="359"/>
      <c r="AB70" s="359"/>
      <c r="AC70" s="359">
        <f>'Table 5C1A-Madison Prep'!P71</f>
        <v>0</v>
      </c>
      <c r="AD70" s="359">
        <f>'Table 5C1B-DArbonne'!P71</f>
        <v>-37.5075</v>
      </c>
      <c r="AE70" s="359">
        <f>'Table 5C1C-Intl_VIBE'!P71</f>
        <v>0</v>
      </c>
      <c r="AF70" s="359">
        <f>'Table 5C1D-NOMMA'!P71</f>
        <v>0</v>
      </c>
      <c r="AG70" s="359">
        <f>'Table 5C1E-LFNO'!R71</f>
        <v>0</v>
      </c>
      <c r="AH70" s="359">
        <f>'Table 5C1F-Lake Charles Charter'!P71</f>
        <v>0</v>
      </c>
      <c r="AI70" s="359">
        <f>'Table 5C1G-JS Clark Academy'!P71</f>
        <v>0</v>
      </c>
      <c r="AJ70" s="359">
        <f>'Table 5C1H-Southwest LA Charter'!P71</f>
        <v>0</v>
      </c>
      <c r="AK70" s="359">
        <f>'Table 5C1I-LA Key Academy'!P71</f>
        <v>0</v>
      </c>
      <c r="AL70" s="359">
        <f>'Table 5C1J-Jefferson Chamber'!P71</f>
        <v>0</v>
      </c>
      <c r="AM70" s="359">
        <f>'Table 5C1K-Tallulah Charter'!P71</f>
        <v>0</v>
      </c>
      <c r="AN70" s="359">
        <f>'Table 5C1L-Northshore Charter'!P71</f>
        <v>0</v>
      </c>
      <c r="AO70" s="359">
        <f>'Table 5C1M-EBR Charter'!P71</f>
        <v>0</v>
      </c>
      <c r="AP70" s="359">
        <f>'Table 5C1N-Delta Charter'!P71</f>
        <v>0</v>
      </c>
      <c r="AQ70" s="359">
        <f>'Table 5C2 - LA Virtual Admy'!Q68</f>
        <v>0</v>
      </c>
      <c r="AR70" s="359">
        <f>'Table 5C3 - LA Connections EBR'!Q68</f>
        <v>-45</v>
      </c>
      <c r="AS70" s="737">
        <f t="shared" ref="AS70:AS74" si="42">SUM(Y70:AR70)</f>
        <v>3711784.368125</v>
      </c>
      <c r="AT70" s="47"/>
      <c r="AZ70"/>
      <c r="BI70"/>
    </row>
    <row r="71" spans="1:61">
      <c r="A71" s="134">
        <v>66</v>
      </c>
      <c r="B71" s="304" t="s">
        <v>157</v>
      </c>
      <c r="C71" s="313">
        <f>'Table 2_State Distrib and Adjs'!V72</f>
        <v>1194880</v>
      </c>
      <c r="D71" s="360"/>
      <c r="E71" s="360"/>
      <c r="F71" s="360">
        <f>-'Table 5C1A-Madison Prep'!T72</f>
        <v>0</v>
      </c>
      <c r="G71" s="360">
        <f>-'Table 5C1B-DArbonne'!T72</f>
        <v>0</v>
      </c>
      <c r="H71" s="360">
        <f>-'Table 5C1C-Intl_VIBE'!T72</f>
        <v>0</v>
      </c>
      <c r="I71" s="360">
        <f>-'Table 5C1D-NOMMA'!T72</f>
        <v>0</v>
      </c>
      <c r="J71" s="360"/>
      <c r="K71" s="360">
        <f>-'Table 5C1E-LFNO'!V72</f>
        <v>0</v>
      </c>
      <c r="L71" s="360">
        <f>-'Table 5C1F-Lake Charles Charter'!T72</f>
        <v>0</v>
      </c>
      <c r="M71" s="360">
        <f>-'Table 5C1G-JS Clark Academy'!T72</f>
        <v>0</v>
      </c>
      <c r="N71" s="360">
        <f>-'Table 5C1H-Southwest LA Charter'!T72</f>
        <v>0</v>
      </c>
      <c r="O71" s="360">
        <f>-'Table 5C1I-LA Key Academy'!T72</f>
        <v>0</v>
      </c>
      <c r="P71" s="360">
        <f>-'Table 5C1J-Jefferson Chamber'!T72</f>
        <v>0</v>
      </c>
      <c r="Q71" s="360">
        <f>-'Table 5C1K-Tallulah Charter'!T72</f>
        <v>0</v>
      </c>
      <c r="R71" s="360">
        <f>-'Table 5C1L-Northshore Charter'!T72</f>
        <v>-32645.265625</v>
      </c>
      <c r="S71" s="360">
        <f>-'Table 5C1M-EBR Charter'!T72</f>
        <v>0</v>
      </c>
      <c r="T71" s="360">
        <f>-'Table 5C1N-Delta Charter'!T72</f>
        <v>0</v>
      </c>
      <c r="U71" s="360">
        <f>-'Table 5C2 - LA Virtual Admy'!U69</f>
        <v>-252</v>
      </c>
      <c r="V71" s="360">
        <f>-'Table 5C3 - LA Connections EBR'!U69</f>
        <v>-511</v>
      </c>
      <c r="W71" s="360">
        <f>-'Table 5E_OJJ'!S72</f>
        <v>-219</v>
      </c>
      <c r="X71" s="1525">
        <f t="shared" ref="X71:X74" si="43">SUM(D71:W71)</f>
        <v>-33627.265625</v>
      </c>
      <c r="Y71" s="739">
        <f t="shared" ref="Y71:Y74" si="44">C71+X71</f>
        <v>1161252.734375</v>
      </c>
      <c r="Z71" s="360"/>
      <c r="AA71" s="360"/>
      <c r="AB71" s="360"/>
      <c r="AC71" s="360">
        <f>'Table 5C1A-Madison Prep'!P72</f>
        <v>0</v>
      </c>
      <c r="AD71" s="360">
        <f>'Table 5C1B-DArbonne'!P72</f>
        <v>0</v>
      </c>
      <c r="AE71" s="360">
        <f>'Table 5C1C-Intl_VIBE'!P72</f>
        <v>0</v>
      </c>
      <c r="AF71" s="360">
        <f>'Table 5C1D-NOMMA'!P72</f>
        <v>0</v>
      </c>
      <c r="AG71" s="360">
        <f>'Table 5C1E-LFNO'!R72</f>
        <v>0</v>
      </c>
      <c r="AH71" s="360">
        <f>'Table 5C1F-Lake Charles Charter'!P72</f>
        <v>0</v>
      </c>
      <c r="AI71" s="360">
        <f>'Table 5C1G-JS Clark Academy'!P72</f>
        <v>0</v>
      </c>
      <c r="AJ71" s="360">
        <f>'Table 5C1H-Southwest LA Charter'!P72</f>
        <v>0</v>
      </c>
      <c r="AK71" s="360">
        <f>'Table 5C1I-LA Key Academy'!P72</f>
        <v>0</v>
      </c>
      <c r="AL71" s="360">
        <f>'Table 5C1J-Jefferson Chamber'!P72</f>
        <v>0</v>
      </c>
      <c r="AM71" s="360">
        <f>'Table 5C1K-Tallulah Charter'!P72</f>
        <v>0</v>
      </c>
      <c r="AN71" s="360">
        <f>'Table 5C1L-Northshore Charter'!P72</f>
        <v>-981.8125</v>
      </c>
      <c r="AO71" s="360">
        <f>'Table 5C1M-EBR Charter'!P72</f>
        <v>0</v>
      </c>
      <c r="AP71" s="360">
        <f>'Table 5C1N-Delta Charter'!P72</f>
        <v>0</v>
      </c>
      <c r="AQ71" s="360">
        <f>'Table 5C2 - LA Virtual Admy'!Q69</f>
        <v>-23</v>
      </c>
      <c r="AR71" s="360">
        <f>'Table 5C3 - LA Connections EBR'!Q69</f>
        <v>-15</v>
      </c>
      <c r="AS71" s="739">
        <f t="shared" si="42"/>
        <v>1160232.921875</v>
      </c>
      <c r="AT71" s="47"/>
      <c r="AZ71"/>
      <c r="BI71"/>
    </row>
    <row r="72" spans="1:61">
      <c r="A72" s="350">
        <v>67</v>
      </c>
      <c r="B72" s="305" t="s">
        <v>32</v>
      </c>
      <c r="C72" s="311">
        <f>'Table 2_State Distrib and Adjs'!V73</f>
        <v>2404787</v>
      </c>
      <c r="D72" s="358"/>
      <c r="E72" s="358"/>
      <c r="F72" s="358">
        <f>-'Table 5C1A-Madison Prep'!T73</f>
        <v>-867.99125000000004</v>
      </c>
      <c r="G72" s="358">
        <f>-'Table 5C1B-DArbonne'!T73</f>
        <v>0</v>
      </c>
      <c r="H72" s="358">
        <f>-'Table 5C1C-Intl_VIBE'!T73</f>
        <v>0</v>
      </c>
      <c r="I72" s="358">
        <f>-'Table 5C1D-NOMMA'!T73</f>
        <v>0</v>
      </c>
      <c r="J72" s="358"/>
      <c r="K72" s="358">
        <f>-'Table 5C1E-LFNO'!V73</f>
        <v>0</v>
      </c>
      <c r="L72" s="358">
        <f>-'Table 5C1F-Lake Charles Charter'!T73</f>
        <v>0</v>
      </c>
      <c r="M72" s="358">
        <f>-'Table 5C1G-JS Clark Academy'!T73</f>
        <v>0</v>
      </c>
      <c r="N72" s="358">
        <f>-'Table 5C1H-Southwest LA Charter'!T73</f>
        <v>0</v>
      </c>
      <c r="O72" s="358">
        <f>-'Table 5C1I-LA Key Academy'!T73</f>
        <v>0</v>
      </c>
      <c r="P72" s="358">
        <f>-'Table 5C1J-Jefferson Chamber'!T73</f>
        <v>0</v>
      </c>
      <c r="Q72" s="358">
        <f>-'Table 5C1K-Tallulah Charter'!T73</f>
        <v>0</v>
      </c>
      <c r="R72" s="358">
        <f>-'Table 5C1L-Northshore Charter'!T73</f>
        <v>0</v>
      </c>
      <c r="S72" s="358">
        <f>-'Table 5C1M-EBR Charter'!T73</f>
        <v>0</v>
      </c>
      <c r="T72" s="358">
        <f>-'Table 5C1N-Delta Charter'!T73</f>
        <v>0</v>
      </c>
      <c r="U72" s="358">
        <f>-'Table 5C2 - LA Virtual Admy'!U70</f>
        <v>-64</v>
      </c>
      <c r="V72" s="358">
        <f>-'Table 5C3 - LA Connections EBR'!U70</f>
        <v>-1172</v>
      </c>
      <c r="W72" s="358">
        <f>-'Table 5E_OJJ'!S73</f>
        <v>0</v>
      </c>
      <c r="X72" s="1524">
        <f t="shared" si="43"/>
        <v>-2103.99125</v>
      </c>
      <c r="Y72" s="736">
        <f t="shared" si="44"/>
        <v>2402683.00875</v>
      </c>
      <c r="Z72" s="358"/>
      <c r="AA72" s="358"/>
      <c r="AB72" s="358"/>
      <c r="AC72" s="358">
        <f>'Table 5C1A-Madison Prep'!P73</f>
        <v>-26.105</v>
      </c>
      <c r="AD72" s="358">
        <f>'Table 5C1B-DArbonne'!P73</f>
        <v>0</v>
      </c>
      <c r="AE72" s="358">
        <f>'Table 5C1C-Intl_VIBE'!P73</f>
        <v>0</v>
      </c>
      <c r="AF72" s="358">
        <f>'Table 5C1D-NOMMA'!P73</f>
        <v>0</v>
      </c>
      <c r="AG72" s="358">
        <f>'Table 5C1E-LFNO'!R73</f>
        <v>0</v>
      </c>
      <c r="AH72" s="358">
        <f>'Table 5C1F-Lake Charles Charter'!P73</f>
        <v>0</v>
      </c>
      <c r="AI72" s="358">
        <f>'Table 5C1G-JS Clark Academy'!P73</f>
        <v>0</v>
      </c>
      <c r="AJ72" s="358">
        <f>'Table 5C1H-Southwest LA Charter'!P73</f>
        <v>0</v>
      </c>
      <c r="AK72" s="358">
        <f>'Table 5C1I-LA Key Academy'!P73</f>
        <v>0</v>
      </c>
      <c r="AL72" s="358">
        <f>'Table 5C1J-Jefferson Chamber'!P73</f>
        <v>0</v>
      </c>
      <c r="AM72" s="358">
        <f>'Table 5C1K-Tallulah Charter'!P73</f>
        <v>0</v>
      </c>
      <c r="AN72" s="358">
        <f>'Table 5C1L-Northshore Charter'!P73</f>
        <v>0</v>
      </c>
      <c r="AO72" s="358">
        <f>'Table 5C1M-EBR Charter'!P73</f>
        <v>0</v>
      </c>
      <c r="AP72" s="358">
        <f>'Table 5C1N-Delta Charter'!P73</f>
        <v>0</v>
      </c>
      <c r="AQ72" s="358">
        <f>'Table 5C2 - LA Virtual Admy'!Q70</f>
        <v>-12</v>
      </c>
      <c r="AR72" s="358">
        <f>'Table 5C3 - LA Connections EBR'!Q70</f>
        <v>-35</v>
      </c>
      <c r="AS72" s="736">
        <f t="shared" si="42"/>
        <v>2402609.9037500001</v>
      </c>
      <c r="AT72" s="47"/>
      <c r="AZ72"/>
      <c r="BI72"/>
    </row>
    <row r="73" spans="1:61">
      <c r="A73" s="99">
        <v>68</v>
      </c>
      <c r="B73" s="302" t="s">
        <v>30</v>
      </c>
      <c r="C73" s="311">
        <f>'Table 2_State Distrib and Adjs'!V74</f>
        <v>975282</v>
      </c>
      <c r="D73" s="358"/>
      <c r="E73" s="358"/>
      <c r="F73" s="358">
        <f>-'Table 5C1A-Madison Prep'!T74</f>
        <v>-891.1</v>
      </c>
      <c r="G73" s="358">
        <f>-'Table 5C1B-DArbonne'!T74</f>
        <v>0</v>
      </c>
      <c r="H73" s="358">
        <f>-'Table 5C1C-Intl_VIBE'!T74</f>
        <v>0</v>
      </c>
      <c r="I73" s="358">
        <f>-'Table 5C1D-NOMMA'!T74</f>
        <v>0</v>
      </c>
      <c r="J73" s="358"/>
      <c r="K73" s="358">
        <f>-'Table 5C1E-LFNO'!V74</f>
        <v>0</v>
      </c>
      <c r="L73" s="358">
        <f>-'Table 5C1F-Lake Charles Charter'!T74</f>
        <v>0</v>
      </c>
      <c r="M73" s="358">
        <f>-'Table 5C1G-JS Clark Academy'!T74</f>
        <v>0</v>
      </c>
      <c r="N73" s="358">
        <f>-'Table 5C1H-Southwest LA Charter'!T74</f>
        <v>0</v>
      </c>
      <c r="O73" s="358">
        <f>-'Table 5C1I-LA Key Academy'!T74</f>
        <v>0</v>
      </c>
      <c r="P73" s="358">
        <f>-'Table 5C1J-Jefferson Chamber'!T74</f>
        <v>0</v>
      </c>
      <c r="Q73" s="358">
        <f>-'Table 5C1K-Tallulah Charter'!T74</f>
        <v>0</v>
      </c>
      <c r="R73" s="358">
        <f>-'Table 5C1L-Northshore Charter'!T74</f>
        <v>0</v>
      </c>
      <c r="S73" s="358">
        <f>-'Table 5C1M-EBR Charter'!T74</f>
        <v>-1336.6499999999999</v>
      </c>
      <c r="T73" s="358">
        <f>-'Table 5C1N-Delta Charter'!T74</f>
        <v>0</v>
      </c>
      <c r="U73" s="358">
        <f>-'Table 5C2 - LA Virtual Admy'!U71</f>
        <v>-493</v>
      </c>
      <c r="V73" s="358">
        <f>-'Table 5C3 - LA Connections EBR'!U71</f>
        <v>-2206</v>
      </c>
      <c r="W73" s="358">
        <f>-'Table 5E_OJJ'!S74</f>
        <v>0</v>
      </c>
      <c r="X73" s="1524">
        <f t="shared" si="43"/>
        <v>-4926.75</v>
      </c>
      <c r="Y73" s="736">
        <f t="shared" si="44"/>
        <v>970355.25</v>
      </c>
      <c r="Z73" s="358"/>
      <c r="AA73" s="358"/>
      <c r="AB73" s="358"/>
      <c r="AC73" s="358">
        <f>'Table 5C1A-Madison Prep'!P74</f>
        <v>-26.8</v>
      </c>
      <c r="AD73" s="358">
        <f>'Table 5C1B-DArbonne'!P74</f>
        <v>0</v>
      </c>
      <c r="AE73" s="358">
        <f>'Table 5C1C-Intl_VIBE'!P74</f>
        <v>0</v>
      </c>
      <c r="AF73" s="358">
        <f>'Table 5C1D-NOMMA'!P74</f>
        <v>0</v>
      </c>
      <c r="AG73" s="358">
        <f>'Table 5C1E-LFNO'!R74</f>
        <v>0</v>
      </c>
      <c r="AH73" s="358">
        <f>'Table 5C1F-Lake Charles Charter'!P74</f>
        <v>0</v>
      </c>
      <c r="AI73" s="358">
        <f>'Table 5C1G-JS Clark Academy'!P74</f>
        <v>0</v>
      </c>
      <c r="AJ73" s="358">
        <f>'Table 5C1H-Southwest LA Charter'!P74</f>
        <v>0</v>
      </c>
      <c r="AK73" s="358">
        <f>'Table 5C1I-LA Key Academy'!P74</f>
        <v>0</v>
      </c>
      <c r="AL73" s="358">
        <f>'Table 5C1J-Jefferson Chamber'!P74</f>
        <v>0</v>
      </c>
      <c r="AM73" s="358">
        <f>'Table 5C1K-Tallulah Charter'!P74</f>
        <v>0</v>
      </c>
      <c r="AN73" s="358">
        <f>'Table 5C1L-Northshore Charter'!P74</f>
        <v>0</v>
      </c>
      <c r="AO73" s="358">
        <f>'Table 5C1M-EBR Charter'!P74</f>
        <v>-40.200000000000003</v>
      </c>
      <c r="AP73" s="358">
        <f>'Table 5C1N-Delta Charter'!P74</f>
        <v>0</v>
      </c>
      <c r="AQ73" s="358">
        <f>'Table 5C2 - LA Virtual Admy'!Q71</f>
        <v>-18</v>
      </c>
      <c r="AR73" s="358">
        <f>'Table 5C3 - LA Connections EBR'!Q71</f>
        <v>-66</v>
      </c>
      <c r="AS73" s="736">
        <f t="shared" si="42"/>
        <v>970204.25</v>
      </c>
      <c r="AT73" s="47"/>
      <c r="AZ73"/>
      <c r="BI73"/>
    </row>
    <row r="74" spans="1:61">
      <c r="A74" s="100">
        <v>69</v>
      </c>
      <c r="B74" s="303" t="s">
        <v>208</v>
      </c>
      <c r="C74" s="319">
        <f>'Table 2_State Distrib and Adjs'!V75</f>
        <v>2193664</v>
      </c>
      <c r="D74" s="359"/>
      <c r="E74" s="359"/>
      <c r="F74" s="359">
        <f>-'Table 5C1A-Madison Prep'!T75</f>
        <v>0</v>
      </c>
      <c r="G74" s="359">
        <f>-'Table 5C1B-DArbonne'!T75</f>
        <v>0</v>
      </c>
      <c r="H74" s="359">
        <f>-'Table 5C1C-Intl_VIBE'!T75</f>
        <v>0</v>
      </c>
      <c r="I74" s="359">
        <f>-'Table 5C1D-NOMMA'!T75</f>
        <v>0</v>
      </c>
      <c r="J74" s="359"/>
      <c r="K74" s="359">
        <f>-'Table 5C1E-LFNO'!V75</f>
        <v>0</v>
      </c>
      <c r="L74" s="359">
        <f>-'Table 5C1F-Lake Charles Charter'!T75</f>
        <v>0</v>
      </c>
      <c r="M74" s="359">
        <f>-'Table 5C1G-JS Clark Academy'!T75</f>
        <v>0</v>
      </c>
      <c r="N74" s="359">
        <f>-'Table 5C1H-Southwest LA Charter'!T75</f>
        <v>0</v>
      </c>
      <c r="O74" s="359">
        <f>-'Table 5C1I-LA Key Academy'!T75</f>
        <v>0</v>
      </c>
      <c r="P74" s="359">
        <f>-'Table 5C1J-Jefferson Chamber'!T75</f>
        <v>0</v>
      </c>
      <c r="Q74" s="359">
        <f>-'Table 5C1K-Tallulah Charter'!T75</f>
        <v>0</v>
      </c>
      <c r="R74" s="359">
        <f>-'Table 5C1L-Northshore Charter'!T75</f>
        <v>0</v>
      </c>
      <c r="S74" s="359">
        <f>-'Table 5C1M-EBR Charter'!T75</f>
        <v>0</v>
      </c>
      <c r="T74" s="359">
        <f>-'Table 5C1N-Delta Charter'!T75</f>
        <v>0</v>
      </c>
      <c r="U74" s="359">
        <f>-'Table 5C2 - LA Virtual Admy'!U72</f>
        <v>-2330</v>
      </c>
      <c r="V74" s="359">
        <f>-'Table 5C3 - LA Connections EBR'!U72</f>
        <v>-488</v>
      </c>
      <c r="W74" s="359">
        <f>-'Table 5E_OJJ'!S75</f>
        <v>0</v>
      </c>
      <c r="X74" s="359">
        <f t="shared" si="43"/>
        <v>-2818</v>
      </c>
      <c r="Y74" s="737">
        <f t="shared" si="44"/>
        <v>2190846</v>
      </c>
      <c r="Z74" s="359"/>
      <c r="AA74" s="359"/>
      <c r="AB74" s="359"/>
      <c r="AC74" s="359">
        <f>'Table 5C1A-Madison Prep'!P75</f>
        <v>0</v>
      </c>
      <c r="AD74" s="359">
        <f>'Table 5C1B-DArbonne'!P75</f>
        <v>0</v>
      </c>
      <c r="AE74" s="359">
        <f>'Table 5C1C-Intl_VIBE'!P75</f>
        <v>0</v>
      </c>
      <c r="AF74" s="359">
        <f>'Table 5C1D-NOMMA'!P75</f>
        <v>0</v>
      </c>
      <c r="AG74" s="359">
        <f>'Table 5C1E-LFNO'!R75</f>
        <v>0</v>
      </c>
      <c r="AH74" s="359">
        <f>'Table 5C1F-Lake Charles Charter'!P75</f>
        <v>0</v>
      </c>
      <c r="AI74" s="359">
        <f>'Table 5C1G-JS Clark Academy'!P75</f>
        <v>0</v>
      </c>
      <c r="AJ74" s="359">
        <f>'Table 5C1H-Southwest LA Charter'!P75</f>
        <v>0</v>
      </c>
      <c r="AK74" s="359">
        <f>'Table 5C1I-LA Key Academy'!P75</f>
        <v>0</v>
      </c>
      <c r="AL74" s="359">
        <f>'Table 5C1J-Jefferson Chamber'!P75</f>
        <v>0</v>
      </c>
      <c r="AM74" s="359">
        <f>'Table 5C1K-Tallulah Charter'!P75</f>
        <v>0</v>
      </c>
      <c r="AN74" s="359">
        <f>'Table 5C1L-Northshore Charter'!P75</f>
        <v>0</v>
      </c>
      <c r="AO74" s="359">
        <f>'Table 5C1M-EBR Charter'!P75</f>
        <v>0</v>
      </c>
      <c r="AP74" s="359">
        <f>'Table 5C1N-Delta Charter'!P75</f>
        <v>0</v>
      </c>
      <c r="AQ74" s="359">
        <f>'Table 5C2 - LA Virtual Admy'!Q72</f>
        <v>-51</v>
      </c>
      <c r="AR74" s="359">
        <f>'Table 5C3 - LA Connections EBR'!Q72</f>
        <v>-15</v>
      </c>
      <c r="AS74" s="737">
        <f t="shared" si="42"/>
        <v>2190780</v>
      </c>
      <c r="AT74" s="47"/>
      <c r="AZ74"/>
      <c r="BI74"/>
    </row>
    <row r="75" spans="1:61" ht="13.5" thickBot="1">
      <c r="A75" s="413"/>
      <c r="B75" s="414" t="s">
        <v>158</v>
      </c>
      <c r="C75" s="740">
        <f t="shared" ref="C75:AT75" si="45">SUM(C6:C74)</f>
        <v>270164652</v>
      </c>
      <c r="D75" s="740">
        <f t="shared" si="45"/>
        <v>-1419467.0266666666</v>
      </c>
      <c r="E75" s="740">
        <f t="shared" si="45"/>
        <v>-11299155.993125003</v>
      </c>
      <c r="F75" s="740">
        <f t="shared" si="45"/>
        <v>-118130.26750000002</v>
      </c>
      <c r="G75" s="740">
        <f t="shared" si="45"/>
        <v>-128566.860625</v>
      </c>
      <c r="H75" s="740">
        <f t="shared" si="45"/>
        <v>-175893.74687499998</v>
      </c>
      <c r="I75" s="740">
        <f t="shared" si="45"/>
        <v>-103889.26333333332</v>
      </c>
      <c r="J75" s="740">
        <f t="shared" si="45"/>
        <v>0</v>
      </c>
      <c r="K75" s="740">
        <f t="shared" si="45"/>
        <v>-92449.962500000009</v>
      </c>
      <c r="L75" s="740">
        <f t="shared" si="45"/>
        <v>-281726.83437500003</v>
      </c>
      <c r="M75" s="740">
        <f t="shared" si="45"/>
        <v>-32388.897916666665</v>
      </c>
      <c r="N75" s="740">
        <f t="shared" si="45"/>
        <v>-197319.04937499997</v>
      </c>
      <c r="O75" s="740">
        <f t="shared" si="45"/>
        <v>-72832.13</v>
      </c>
      <c r="P75" s="740">
        <f t="shared" si="45"/>
        <v>-44933.800625000011</v>
      </c>
      <c r="Q75" s="740">
        <f t="shared" si="45"/>
        <v>-51085.964999999997</v>
      </c>
      <c r="R75" s="740">
        <f t="shared" si="45"/>
        <v>-47079.921875</v>
      </c>
      <c r="S75" s="740">
        <f t="shared" si="45"/>
        <v>-343189.21</v>
      </c>
      <c r="T75" s="740">
        <f t="shared" si="45"/>
        <v>-69717.186875000014</v>
      </c>
      <c r="U75" s="740">
        <f>SUM(U6:U74)</f>
        <v>-356557</v>
      </c>
      <c r="V75" s="740">
        <f>SUM(V6:V74)</f>
        <v>-385674</v>
      </c>
      <c r="W75" s="740">
        <f t="shared" si="45"/>
        <v>-83618</v>
      </c>
      <c r="X75" s="740">
        <f t="shared" si="45"/>
        <v>-15303675.116666671</v>
      </c>
      <c r="Y75" s="741">
        <f t="shared" si="45"/>
        <v>254860976.88333336</v>
      </c>
      <c r="Z75" s="740">
        <f t="shared" si="45"/>
        <v>-86237.095000000001</v>
      </c>
      <c r="AA75" s="740">
        <f t="shared" si="45"/>
        <v>-12319.584999999999</v>
      </c>
      <c r="AB75" s="740">
        <f>SUM(AB6:AB74)</f>
        <v>-312891.58250000014</v>
      </c>
      <c r="AC75" s="740">
        <f t="shared" si="45"/>
        <v>-3552.7900000000004</v>
      </c>
      <c r="AD75" s="740">
        <f t="shared" si="45"/>
        <v>-3866.6725000000001</v>
      </c>
      <c r="AE75" s="740">
        <f t="shared" si="45"/>
        <v>-5290.0374999999995</v>
      </c>
      <c r="AF75" s="740">
        <f t="shared" si="45"/>
        <v>-3112.84</v>
      </c>
      <c r="AG75" s="740">
        <f t="shared" si="45"/>
        <v>-2780.4500000000003</v>
      </c>
      <c r="AH75" s="740">
        <f t="shared" si="45"/>
        <v>-8472.9874999999993</v>
      </c>
      <c r="AI75" s="740">
        <f t="shared" si="45"/>
        <v>-968.22500000000002</v>
      </c>
      <c r="AJ75" s="740">
        <f t="shared" si="45"/>
        <v>-5934.4075000000003</v>
      </c>
      <c r="AK75" s="740">
        <f t="shared" si="45"/>
        <v>-2190.4400000000005</v>
      </c>
      <c r="AL75" s="740">
        <f t="shared" si="45"/>
        <v>-1351.3925000000002</v>
      </c>
      <c r="AM75" s="740">
        <f t="shared" si="45"/>
        <v>-1536.42</v>
      </c>
      <c r="AN75" s="740">
        <f t="shared" si="45"/>
        <v>-1415.9375</v>
      </c>
      <c r="AO75" s="740">
        <f t="shared" si="45"/>
        <v>-10321.480000000001</v>
      </c>
      <c r="AP75" s="740">
        <f t="shared" si="45"/>
        <v>-2096.7574999999997</v>
      </c>
      <c r="AQ75" s="740">
        <f>SUM(AQ6:AQ74)</f>
        <v>-10883</v>
      </c>
      <c r="AR75" s="740">
        <f>SUM(AR6:AR74)</f>
        <v>-11614</v>
      </c>
      <c r="AS75" s="741">
        <f t="shared" si="45"/>
        <v>254374140.78333336</v>
      </c>
      <c r="AT75" s="47">
        <f t="shared" si="45"/>
        <v>0</v>
      </c>
      <c r="AZ75"/>
      <c r="BI75"/>
    </row>
    <row r="76" spans="1:61" ht="13.5" thickTop="1">
      <c r="AV76" s="97"/>
      <c r="AW76" s="97"/>
      <c r="AX76" s="97"/>
      <c r="AY76" s="97"/>
      <c r="AZ76" s="97"/>
      <c r="BA76" s="97"/>
      <c r="BB76" s="97"/>
      <c r="BC76" s="97"/>
      <c r="BD76" s="97"/>
      <c r="BG76" s="97"/>
    </row>
    <row r="77" spans="1:61" ht="13.5" thickBot="1">
      <c r="Y77" s="49">
        <f>SUM(C75:W75)</f>
        <v>254860976.88333338</v>
      </c>
      <c r="Z77" s="49"/>
      <c r="AA77" s="49"/>
      <c r="AS77" s="49">
        <f>SUM(Y75:AR75)</f>
        <v>254374140.78333336</v>
      </c>
    </row>
    <row r="78" spans="1:61" ht="37.5" customHeight="1" thickBot="1">
      <c r="D78" s="1598"/>
      <c r="E78" s="1599"/>
      <c r="F78" s="1599"/>
      <c r="G78" s="1599"/>
      <c r="H78" s="1599"/>
      <c r="I78" s="1599"/>
      <c r="J78" s="1599"/>
      <c r="K78" s="1600"/>
      <c r="AV78" s="49"/>
      <c r="AW78" s="49"/>
      <c r="AX78" s="49"/>
      <c r="AY78" s="49"/>
      <c r="BA78" s="49"/>
      <c r="BB78" s="49"/>
      <c r="BC78" s="49"/>
      <c r="BD78" s="49"/>
      <c r="BG78" s="49"/>
    </row>
  </sheetData>
  <mergeCells count="46">
    <mergeCell ref="D78:K78"/>
    <mergeCell ref="K1:K4"/>
    <mergeCell ref="AF1:AF4"/>
    <mergeCell ref="AG1:AG4"/>
    <mergeCell ref="AH1:AH4"/>
    <mergeCell ref="M1:M4"/>
    <mergeCell ref="N1:N4"/>
    <mergeCell ref="F1:F4"/>
    <mergeCell ref="O1:O4"/>
    <mergeCell ref="P1:P4"/>
    <mergeCell ref="Q1:Q4"/>
    <mergeCell ref="R1:R4"/>
    <mergeCell ref="S1:S4"/>
    <mergeCell ref="T1:T4"/>
    <mergeCell ref="X1:X4"/>
    <mergeCell ref="AQ1:AQ4"/>
    <mergeCell ref="AR1:AR4"/>
    <mergeCell ref="AI1:AI4"/>
    <mergeCell ref="AJ1:AJ4"/>
    <mergeCell ref="AN1:AN4"/>
    <mergeCell ref="AO1:AO4"/>
    <mergeCell ref="AP1:AP4"/>
    <mergeCell ref="AK1:AK4"/>
    <mergeCell ref="AL1:AL4"/>
    <mergeCell ref="AM1:AM4"/>
    <mergeCell ref="AS1:AS4"/>
    <mergeCell ref="AB1:AB4"/>
    <mergeCell ref="H1:H4"/>
    <mergeCell ref="G1:G4"/>
    <mergeCell ref="Y1:Y4"/>
    <mergeCell ref="Z1:Z4"/>
    <mergeCell ref="AA1:AA4"/>
    <mergeCell ref="AC1:AC4"/>
    <mergeCell ref="AD1:AD4"/>
    <mergeCell ref="AE1:AE4"/>
    <mergeCell ref="W1:W4"/>
    <mergeCell ref="I1:I4"/>
    <mergeCell ref="J1:J4"/>
    <mergeCell ref="L1:L4"/>
    <mergeCell ref="U1:U4"/>
    <mergeCell ref="V1:V4"/>
    <mergeCell ref="A1:A4"/>
    <mergeCell ref="B1:B4"/>
    <mergeCell ref="C1:C4"/>
    <mergeCell ref="D1:D4"/>
    <mergeCell ref="E1:E4"/>
  </mergeCells>
  <printOptions horizontalCentered="1"/>
  <pageMargins left="0.25" right="0.33" top="1.01" bottom="0.75" header="0.3" footer="0.3"/>
  <pageSetup paperSize="5" scale="75" firstPageNumber="11" orientation="portrait" useFirstPageNumber="1" r:id="rId1"/>
  <headerFooter>
    <oddHeader xml:space="preserve">&amp;L&amp;"Arial,Bold"&amp;14Table 2A-2:  FY2013-14 Budget Letter 
MFP Transfer Amount (Monthly Amount) </oddHeader>
    <oddFooter>&amp;R&amp;P</oddFooter>
  </headerFooter>
  <colBreaks count="5" manualBreakCount="5">
    <brk id="11" max="74" man="1"/>
    <brk id="25" max="1048575" man="1"/>
    <brk id="31" max="1048575" man="1"/>
    <brk id="37" max="74" man="1"/>
    <brk id="42" max="7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871"/>
  <sheetViews>
    <sheetView view="pageBreakPreview" zoomScaleNormal="85" zoomScaleSheetLayoutView="100" workbookViewId="0">
      <pane xSplit="2" ySplit="7" topLeftCell="AS8" activePane="bottomRight" state="frozen"/>
      <selection activeCell="B3" sqref="B3:B5"/>
      <selection pane="topRight" activeCell="B3" sqref="B3:B5"/>
      <selection pane="bottomLeft" activeCell="B3" sqref="B3:B5"/>
      <selection pane="bottomRight" activeCell="B91" sqref="B91:E96"/>
    </sheetView>
  </sheetViews>
  <sheetFormatPr defaultColWidth="9.140625" defaultRowHeight="12.75"/>
  <cols>
    <col min="1" max="1" width="4.7109375" style="1" bestFit="1" customWidth="1"/>
    <col min="2" max="2" width="18.7109375" style="2" customWidth="1"/>
    <col min="3" max="3" width="20.140625" style="2" customWidth="1"/>
    <col min="4" max="4" width="17.28515625" style="2" customWidth="1"/>
    <col min="5" max="5" width="15.42578125" style="3" bestFit="1" customWidth="1"/>
    <col min="6" max="6" width="16.7109375" style="2" bestFit="1" customWidth="1"/>
    <col min="7" max="7" width="13.42578125" style="2" bestFit="1" customWidth="1"/>
    <col min="8" max="8" width="13.42578125" style="2" customWidth="1"/>
    <col min="9" max="9" width="15.140625" style="2" customWidth="1"/>
    <col min="10" max="10" width="13.42578125" style="2" customWidth="1"/>
    <col min="11" max="11" width="15" style="2" customWidth="1"/>
    <col min="12" max="12" width="15.7109375" style="2" customWidth="1"/>
    <col min="13" max="13" width="13.28515625" style="4" customWidth="1"/>
    <col min="14" max="15" width="14.85546875" style="2" customWidth="1"/>
    <col min="16" max="16" width="15.140625" style="2" bestFit="1" customWidth="1"/>
    <col min="17" max="17" width="9.85546875" style="2" bestFit="1" customWidth="1"/>
    <col min="18" max="18" width="17.7109375" style="2" customWidth="1"/>
    <col min="19" max="19" width="15.42578125" style="138" customWidth="1"/>
    <col min="20" max="20" width="15.28515625" style="138" customWidth="1"/>
    <col min="21" max="21" width="18.28515625" style="138" customWidth="1"/>
    <col min="22" max="22" width="10.7109375" style="138" bestFit="1" customWidth="1"/>
    <col min="23" max="24" width="10" style="138" customWidth="1"/>
    <col min="25" max="25" width="18.140625" style="138" customWidth="1"/>
    <col min="26" max="26" width="15.140625" style="138" customWidth="1"/>
    <col min="27" max="27" width="9.5703125" style="138" customWidth="1"/>
    <col min="28" max="28" width="14.140625" style="138" customWidth="1"/>
    <col min="29" max="29" width="14.42578125" style="138" customWidth="1"/>
    <col min="30" max="30" width="13.85546875" style="138" customWidth="1"/>
    <col min="31" max="31" width="16" style="138" customWidth="1"/>
    <col min="32" max="32" width="10.5703125" style="138" customWidth="1"/>
    <col min="33" max="33" width="15.5703125" style="138" customWidth="1"/>
    <col min="34" max="34" width="9.42578125" style="138" bestFit="1" customWidth="1"/>
    <col min="35" max="35" width="17.42578125" style="138" customWidth="1"/>
    <col min="36" max="36" width="9.42578125" style="138" bestFit="1" customWidth="1"/>
    <col min="37" max="37" width="18.85546875" style="138" customWidth="1"/>
    <col min="38" max="38" width="9.42578125" style="138" bestFit="1" customWidth="1"/>
    <col min="39" max="39" width="17.28515625" style="138" customWidth="1"/>
    <col min="40" max="40" width="9.42578125" style="138" bestFit="1" customWidth="1"/>
    <col min="41" max="41" width="17.85546875" style="138" customWidth="1"/>
    <col min="42" max="42" width="9.42578125" style="138" bestFit="1" customWidth="1"/>
    <col min="43" max="43" width="13.85546875" style="138" customWidth="1"/>
    <col min="44" max="44" width="5.7109375" style="138" bestFit="1" customWidth="1"/>
    <col min="45" max="45" width="16.28515625" style="138" customWidth="1"/>
    <col min="46" max="46" width="8.140625" style="138" bestFit="1" customWidth="1"/>
    <col min="47" max="47" width="5" style="138" bestFit="1" customWidth="1"/>
    <col min="48" max="48" width="9.85546875" style="138" bestFit="1" customWidth="1"/>
    <col min="49" max="49" width="18.5703125" style="138" customWidth="1"/>
    <col min="50" max="50" width="8.85546875" style="138" bestFit="1" customWidth="1"/>
    <col min="51" max="51" width="5" style="138" bestFit="1" customWidth="1"/>
    <col min="52" max="52" width="21.5703125" style="138" customWidth="1"/>
    <col min="53" max="53" width="16.7109375" style="138" customWidth="1"/>
    <col min="54" max="54" width="9.42578125" style="138" hidden="1" customWidth="1"/>
    <col min="55" max="56" width="17.42578125" style="176" customWidth="1"/>
    <col min="57" max="57" width="14.28515625" style="176" customWidth="1"/>
    <col min="58" max="58" width="15" style="176" customWidth="1"/>
    <col min="59" max="59" width="13.140625" style="35" customWidth="1"/>
    <col min="60" max="60" width="12.7109375" style="35" customWidth="1"/>
    <col min="61" max="61" width="15.5703125" style="35" customWidth="1"/>
    <col min="62" max="62" width="16.28515625" style="35" customWidth="1"/>
    <col min="63" max="63" width="13.85546875" style="35" customWidth="1"/>
    <col min="64" max="64" width="15" style="35" customWidth="1"/>
    <col min="65" max="65" width="11.5703125" style="35" customWidth="1"/>
    <col min="66" max="66" width="10.140625" style="35" customWidth="1"/>
    <col min="67" max="67" width="16.7109375" style="35" customWidth="1"/>
    <col min="68" max="68" width="12.28515625" style="35" customWidth="1"/>
    <col min="69" max="69" width="10.140625" customWidth="1"/>
    <col min="70" max="149" width="8.85546875" customWidth="1"/>
    <col min="150" max="16384" width="9.140625" style="2"/>
  </cols>
  <sheetData>
    <row r="1" spans="1:149" ht="48.75" customHeight="1" thickBot="1">
      <c r="A1" s="1601"/>
      <c r="B1" s="1602"/>
      <c r="C1" s="1215"/>
      <c r="D1" s="1289"/>
      <c r="E1" s="1289"/>
      <c r="F1" s="1215"/>
      <c r="G1" s="1215"/>
      <c r="H1" s="1215"/>
      <c r="I1" s="1215"/>
      <c r="J1" s="1215"/>
      <c r="K1" s="1215"/>
      <c r="L1" s="1215"/>
      <c r="M1" s="1215"/>
      <c r="N1" s="1215"/>
      <c r="O1" s="1215"/>
      <c r="P1" s="1215"/>
      <c r="Q1" s="1215"/>
      <c r="R1" s="1215"/>
      <c r="S1" s="237"/>
      <c r="T1" s="237"/>
      <c r="U1" s="238"/>
      <c r="V1" s="238"/>
      <c r="W1" s="238"/>
      <c r="X1" s="238"/>
      <c r="Y1" s="238"/>
      <c r="AB1" s="239"/>
      <c r="AC1" s="237"/>
      <c r="AD1" s="238"/>
      <c r="AE1" s="238"/>
      <c r="AF1" s="238"/>
    </row>
    <row r="2" spans="1:149" ht="1.5" hidden="1" customHeight="1">
      <c r="A2" s="1603"/>
      <c r="B2" s="1604"/>
      <c r="D2" s="1289"/>
      <c r="E2" s="1289"/>
      <c r="M2" s="2"/>
      <c r="S2" s="240"/>
      <c r="T2" s="240"/>
      <c r="AC2" s="241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</row>
    <row r="3" spans="1:149" s="7" customFormat="1" ht="40.5" hidden="1" customHeight="1">
      <c r="A3" s="1615"/>
      <c r="B3" s="1616"/>
      <c r="C3" s="1271" t="s">
        <v>62</v>
      </c>
      <c r="D3" s="1289"/>
      <c r="E3" s="1289"/>
      <c r="F3" s="121" t="s">
        <v>70</v>
      </c>
      <c r="G3" s="1216" t="s">
        <v>72</v>
      </c>
      <c r="H3" s="243"/>
      <c r="I3" s="243"/>
      <c r="J3" s="243"/>
      <c r="K3" s="243"/>
      <c r="L3" s="73" t="s">
        <v>188</v>
      </c>
      <c r="M3" s="73" t="s">
        <v>189</v>
      </c>
      <c r="N3" s="219" t="s">
        <v>190</v>
      </c>
      <c r="O3" s="112" t="s">
        <v>186</v>
      </c>
      <c r="P3" s="123" t="s">
        <v>192</v>
      </c>
      <c r="Q3" s="220" t="s">
        <v>22</v>
      </c>
      <c r="R3" s="234" t="s">
        <v>191</v>
      </c>
      <c r="S3" s="243"/>
      <c r="T3" s="243"/>
      <c r="U3" s="243"/>
      <c r="V3" s="243"/>
      <c r="W3" s="243"/>
      <c r="X3" s="243"/>
      <c r="Y3" s="243"/>
      <c r="Z3" s="243"/>
      <c r="AA3" s="243"/>
      <c r="AB3" s="244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5"/>
      <c r="BD3" s="245"/>
      <c r="BE3" s="176"/>
      <c r="BF3" s="176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</row>
    <row r="4" spans="1:149" s="7" customFormat="1" ht="20.25" customHeight="1" thickBot="1">
      <c r="C4" s="217"/>
      <c r="D4" s="1608">
        <v>0.22</v>
      </c>
      <c r="E4" s="1609"/>
      <c r="F4" s="1610">
        <v>0.06</v>
      </c>
      <c r="G4" s="1611"/>
      <c r="H4" s="1610">
        <v>1.5</v>
      </c>
      <c r="I4" s="1611"/>
      <c r="J4" s="1608">
        <v>0.6</v>
      </c>
      <c r="K4" s="1609"/>
      <c r="L4" s="363">
        <v>7500</v>
      </c>
      <c r="M4" s="362">
        <v>37500</v>
      </c>
      <c r="N4" s="363">
        <f>M4</f>
        <v>37500</v>
      </c>
      <c r="Q4" s="364">
        <f>ROUND(3855*1,0)</f>
        <v>3855</v>
      </c>
      <c r="S4" s="248"/>
      <c r="T4" s="365">
        <v>0.75</v>
      </c>
      <c r="U4" s="249"/>
      <c r="V4" s="250"/>
      <c r="W4" s="250"/>
      <c r="X4" s="250"/>
      <c r="Z4" s="22"/>
      <c r="AA4" s="22"/>
      <c r="AB4" s="366">
        <v>0.34</v>
      </c>
      <c r="AC4" s="22"/>
      <c r="AD4" s="367">
        <v>1.72</v>
      </c>
      <c r="AE4" s="456"/>
      <c r="AF4" s="22"/>
      <c r="AG4" s="22"/>
      <c r="AH4" s="22"/>
      <c r="AI4" s="1605" t="s">
        <v>378</v>
      </c>
      <c r="AJ4" s="1606"/>
      <c r="AK4" s="1606"/>
      <c r="AL4" s="1607"/>
      <c r="AM4" s="1617" t="s">
        <v>379</v>
      </c>
      <c r="AN4" s="1618"/>
      <c r="AO4" s="1618"/>
      <c r="AP4" s="1619"/>
      <c r="AQ4" s="22"/>
      <c r="AR4" s="22"/>
      <c r="AS4" s="22"/>
      <c r="AT4" s="22"/>
      <c r="AU4" s="22"/>
      <c r="AV4" s="22"/>
      <c r="AW4" s="22"/>
      <c r="AX4" s="22"/>
      <c r="AY4" s="22"/>
      <c r="AZ4" s="1612" t="s">
        <v>207</v>
      </c>
      <c r="BA4" s="1613"/>
      <c r="BB4" s="1214"/>
      <c r="BC4" s="176"/>
      <c r="BD4" s="176"/>
      <c r="BE4" s="176"/>
      <c r="BF4" s="176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</row>
    <row r="5" spans="1:149" s="1" customFormat="1" ht="192.75" customHeight="1">
      <c r="A5" s="46" t="s">
        <v>185</v>
      </c>
      <c r="B5" s="46" t="s">
        <v>246</v>
      </c>
      <c r="C5" s="1272" t="s">
        <v>878</v>
      </c>
      <c r="D5" s="1275" t="s">
        <v>962</v>
      </c>
      <c r="E5" s="1270" t="s">
        <v>586</v>
      </c>
      <c r="F5" s="1275" t="s">
        <v>597</v>
      </c>
      <c r="G5" s="1270" t="s">
        <v>587</v>
      </c>
      <c r="H5" s="1291" t="s">
        <v>746</v>
      </c>
      <c r="I5" s="1291" t="s">
        <v>963</v>
      </c>
      <c r="J5" s="1291" t="s">
        <v>747</v>
      </c>
      <c r="K5" s="1283" t="s">
        <v>229</v>
      </c>
      <c r="L5" s="368" t="s">
        <v>237</v>
      </c>
      <c r="M5" s="369" t="s">
        <v>236</v>
      </c>
      <c r="N5" s="357" t="s">
        <v>204</v>
      </c>
      <c r="O5" s="46" t="s">
        <v>230</v>
      </c>
      <c r="P5" s="46" t="s">
        <v>231</v>
      </c>
      <c r="Q5" s="357" t="s">
        <v>250</v>
      </c>
      <c r="R5" s="46" t="s">
        <v>210</v>
      </c>
      <c r="S5" s="265" t="s">
        <v>643</v>
      </c>
      <c r="T5" s="331" t="s">
        <v>644</v>
      </c>
      <c r="U5" s="266" t="s">
        <v>645</v>
      </c>
      <c r="V5" s="329" t="s">
        <v>646</v>
      </c>
      <c r="W5" s="332" t="s">
        <v>647</v>
      </c>
      <c r="X5" s="332" t="s">
        <v>648</v>
      </c>
      <c r="Y5" s="264" t="s">
        <v>251</v>
      </c>
      <c r="Z5" s="264" t="s">
        <v>252</v>
      </c>
      <c r="AA5" s="264" t="s">
        <v>253</v>
      </c>
      <c r="AB5" s="370" t="s">
        <v>211</v>
      </c>
      <c r="AC5" s="330" t="s">
        <v>205</v>
      </c>
      <c r="AD5" s="370" t="s">
        <v>649</v>
      </c>
      <c r="AE5" s="371" t="s">
        <v>650</v>
      </c>
      <c r="AF5" s="372" t="s">
        <v>82</v>
      </c>
      <c r="AG5" s="1280" t="s">
        <v>729</v>
      </c>
      <c r="AH5" s="46" t="s">
        <v>254</v>
      </c>
      <c r="AI5" s="428" t="s">
        <v>375</v>
      </c>
      <c r="AJ5" s="357" t="s">
        <v>254</v>
      </c>
      <c r="AK5" s="1281" t="s">
        <v>730</v>
      </c>
      <c r="AL5" s="357" t="s">
        <v>250</v>
      </c>
      <c r="AM5" s="428" t="s">
        <v>376</v>
      </c>
      <c r="AN5" s="357" t="s">
        <v>250</v>
      </c>
      <c r="AO5" s="1282" t="s">
        <v>735</v>
      </c>
      <c r="AP5" s="357" t="s">
        <v>250</v>
      </c>
      <c r="AQ5" s="333" t="s">
        <v>377</v>
      </c>
      <c r="AR5" s="333" t="s">
        <v>195</v>
      </c>
      <c r="AS5" s="330" t="s">
        <v>731</v>
      </c>
      <c r="AT5" s="330" t="s">
        <v>250</v>
      </c>
      <c r="AU5" s="330" t="s">
        <v>221</v>
      </c>
      <c r="AV5" s="330" t="s">
        <v>222</v>
      </c>
      <c r="AW5" s="264" t="s">
        <v>732</v>
      </c>
      <c r="AX5" s="264" t="s">
        <v>250</v>
      </c>
      <c r="AY5" s="264" t="s">
        <v>195</v>
      </c>
      <c r="AZ5" s="271" t="s">
        <v>733</v>
      </c>
      <c r="BA5" s="271" t="s">
        <v>734</v>
      </c>
      <c r="BB5" s="1870"/>
      <c r="BC5" s="1887"/>
      <c r="BD5" s="1887"/>
      <c r="BE5" s="1888"/>
      <c r="BF5" s="1889"/>
      <c r="BG5" s="1889"/>
      <c r="BH5" s="1890"/>
      <c r="BI5" s="1891"/>
      <c r="BJ5" s="1892"/>
      <c r="BK5" s="1893"/>
      <c r="BL5" s="1894"/>
      <c r="BM5" s="1894"/>
      <c r="BN5" s="1894"/>
      <c r="BO5" s="1895"/>
      <c r="BP5" s="1895"/>
      <c r="BQ5" s="1878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</row>
    <row r="6" spans="1:149" s="215" customFormat="1">
      <c r="A6" s="212"/>
      <c r="B6" s="212"/>
      <c r="C6" s="214">
        <v>1</v>
      </c>
      <c r="D6" s="213" t="s">
        <v>545</v>
      </c>
      <c r="E6" s="213">
        <v>2</v>
      </c>
      <c r="F6" s="213" t="s">
        <v>216</v>
      </c>
      <c r="G6" s="213">
        <v>3</v>
      </c>
      <c r="H6" s="1284" t="s">
        <v>736</v>
      </c>
      <c r="I6" s="1284">
        <v>4</v>
      </c>
      <c r="J6" s="1284" t="s">
        <v>737</v>
      </c>
      <c r="K6" s="1284">
        <v>5</v>
      </c>
      <c r="L6" s="1284" t="s">
        <v>738</v>
      </c>
      <c r="M6" s="1290" t="s">
        <v>739</v>
      </c>
      <c r="N6" s="1284">
        <v>6</v>
      </c>
      <c r="O6" s="213">
        <f>N6+1</f>
        <v>7</v>
      </c>
      <c r="P6" s="213">
        <f t="shared" ref="P6:AP6" si="0">O6+1</f>
        <v>8</v>
      </c>
      <c r="Q6" s="213">
        <f t="shared" si="0"/>
        <v>9</v>
      </c>
      <c r="R6" s="213">
        <f t="shared" si="0"/>
        <v>10</v>
      </c>
      <c r="S6" s="213">
        <f t="shared" si="0"/>
        <v>11</v>
      </c>
      <c r="T6" s="214" t="s">
        <v>215</v>
      </c>
      <c r="U6" s="213">
        <v>12</v>
      </c>
      <c r="V6" s="213">
        <f t="shared" si="0"/>
        <v>13</v>
      </c>
      <c r="W6" s="213">
        <f t="shared" si="0"/>
        <v>14</v>
      </c>
      <c r="X6" s="213">
        <f t="shared" si="0"/>
        <v>15</v>
      </c>
      <c r="Y6" s="213">
        <f t="shared" si="0"/>
        <v>16</v>
      </c>
      <c r="Z6" s="213">
        <f t="shared" si="0"/>
        <v>17</v>
      </c>
      <c r="AA6" s="213">
        <f t="shared" si="0"/>
        <v>18</v>
      </c>
      <c r="AB6" s="213">
        <f t="shared" si="0"/>
        <v>19</v>
      </c>
      <c r="AC6" s="213">
        <f t="shared" si="0"/>
        <v>20</v>
      </c>
      <c r="AD6" s="213">
        <f t="shared" si="0"/>
        <v>21</v>
      </c>
      <c r="AE6" s="213">
        <f t="shared" si="0"/>
        <v>22</v>
      </c>
      <c r="AF6" s="213">
        <f t="shared" si="0"/>
        <v>23</v>
      </c>
      <c r="AG6" s="213">
        <f t="shared" si="0"/>
        <v>24</v>
      </c>
      <c r="AH6" s="213">
        <f t="shared" si="0"/>
        <v>25</v>
      </c>
      <c r="AI6" s="213">
        <f t="shared" si="0"/>
        <v>26</v>
      </c>
      <c r="AJ6" s="213">
        <f t="shared" si="0"/>
        <v>27</v>
      </c>
      <c r="AK6" s="213">
        <f t="shared" si="0"/>
        <v>28</v>
      </c>
      <c r="AL6" s="213">
        <f t="shared" si="0"/>
        <v>29</v>
      </c>
      <c r="AM6" s="213">
        <f t="shared" si="0"/>
        <v>30</v>
      </c>
      <c r="AN6" s="213">
        <f t="shared" si="0"/>
        <v>31</v>
      </c>
      <c r="AO6" s="213">
        <f t="shared" si="0"/>
        <v>32</v>
      </c>
      <c r="AP6" s="213">
        <f t="shared" si="0"/>
        <v>33</v>
      </c>
      <c r="AQ6" s="213">
        <f t="shared" ref="AQ6" si="1">AP6+1</f>
        <v>34</v>
      </c>
      <c r="AR6" s="213">
        <f t="shared" ref="AR6" si="2">AQ6+1</f>
        <v>35</v>
      </c>
      <c r="AS6" s="213">
        <f t="shared" ref="AS6" si="3">AR6+1</f>
        <v>36</v>
      </c>
      <c r="AT6" s="213">
        <f t="shared" ref="AT6" si="4">AS6+1</f>
        <v>37</v>
      </c>
      <c r="AU6" s="213">
        <f t="shared" ref="AU6" si="5">AT6+1</f>
        <v>38</v>
      </c>
      <c r="AV6" s="213">
        <f t="shared" ref="AV6" si="6">AU6+1</f>
        <v>39</v>
      </c>
      <c r="AW6" s="213">
        <f t="shared" ref="AW6" si="7">AV6+1</f>
        <v>40</v>
      </c>
      <c r="AX6" s="213">
        <f t="shared" ref="AX6" si="8">AW6+1</f>
        <v>41</v>
      </c>
      <c r="AY6" s="213">
        <f t="shared" ref="AY6" si="9">AX6+1</f>
        <v>42</v>
      </c>
      <c r="AZ6" s="213">
        <f t="shared" ref="AZ6" si="10">AY6+1</f>
        <v>43</v>
      </c>
      <c r="BA6" s="213">
        <f t="shared" ref="BA6" si="11">AZ6+1</f>
        <v>44</v>
      </c>
      <c r="BB6" s="1871"/>
      <c r="BC6" s="1896"/>
      <c r="BD6" s="1896"/>
      <c r="BE6" s="1896"/>
      <c r="BF6" s="1896"/>
      <c r="BG6" s="1896"/>
      <c r="BH6" s="1896"/>
      <c r="BI6" s="1896"/>
      <c r="BJ6" s="1896"/>
      <c r="BK6" s="1896"/>
      <c r="BL6" s="1896"/>
      <c r="BM6" s="1896"/>
      <c r="BN6" s="1896"/>
      <c r="BO6" s="1896"/>
      <c r="BP6" s="1896"/>
      <c r="BQ6" s="1879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DH6" s="216"/>
      <c r="DI6" s="216"/>
      <c r="DJ6" s="216"/>
      <c r="DK6" s="216"/>
      <c r="DL6" s="216"/>
      <c r="DM6" s="216"/>
      <c r="DN6" s="216"/>
      <c r="DO6" s="216"/>
      <c r="DP6" s="216"/>
      <c r="DQ6" s="216"/>
      <c r="DR6" s="216"/>
      <c r="DS6" s="216"/>
      <c r="DT6" s="216"/>
      <c r="DU6" s="216"/>
      <c r="DV6" s="216"/>
      <c r="DW6" s="216"/>
      <c r="DX6" s="216"/>
      <c r="DY6" s="216"/>
      <c r="DZ6" s="216"/>
      <c r="EA6" s="216"/>
      <c r="EB6" s="216"/>
      <c r="EC6" s="216"/>
      <c r="ED6" s="216"/>
      <c r="EE6" s="216"/>
      <c r="EF6" s="216"/>
      <c r="EG6" s="216"/>
      <c r="EH6" s="216"/>
      <c r="EI6" s="216"/>
      <c r="EJ6" s="216"/>
      <c r="EK6" s="216"/>
      <c r="EL6" s="216"/>
      <c r="EM6" s="216"/>
      <c r="EN6" s="216"/>
      <c r="EO6" s="216"/>
      <c r="EP6" s="216"/>
      <c r="EQ6" s="216"/>
      <c r="ER6" s="216"/>
      <c r="ES6" s="216"/>
    </row>
    <row r="7" spans="1:149" ht="0.75" customHeight="1">
      <c r="A7" s="294"/>
      <c r="B7" s="295"/>
      <c r="C7" s="296">
        <v>39114</v>
      </c>
      <c r="D7" s="297" t="s">
        <v>92</v>
      </c>
      <c r="E7" s="296">
        <v>39114</v>
      </c>
      <c r="F7" s="297" t="s">
        <v>92</v>
      </c>
      <c r="G7" s="296">
        <v>38992</v>
      </c>
      <c r="H7" s="1285"/>
      <c r="I7" s="1285"/>
      <c r="J7" s="1285"/>
      <c r="K7" s="1285"/>
      <c r="L7" s="298" t="s">
        <v>92</v>
      </c>
      <c r="M7" s="299" t="s">
        <v>92</v>
      </c>
      <c r="N7" s="295"/>
      <c r="O7" s="295"/>
      <c r="P7" s="295"/>
      <c r="Q7" s="295"/>
      <c r="R7" s="295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0"/>
      <c r="AP7" s="300"/>
      <c r="AQ7" s="300"/>
      <c r="AR7" s="300"/>
      <c r="AS7" s="300"/>
      <c r="AT7" s="300"/>
      <c r="AU7" s="300"/>
      <c r="AV7" s="300"/>
      <c r="AW7" s="300"/>
      <c r="AX7" s="300"/>
      <c r="AY7" s="300"/>
      <c r="AZ7" s="300"/>
      <c r="BA7" s="300"/>
      <c r="BC7" s="138"/>
    </row>
    <row r="8" spans="1:149" s="5" customFormat="1">
      <c r="A8" s="101">
        <v>1</v>
      </c>
      <c r="B8" s="81" t="s">
        <v>93</v>
      </c>
      <c r="C8" s="13">
        <f>'2-1-13 SIS'!S7</f>
        <v>9586</v>
      </c>
      <c r="D8" s="13">
        <f>'[3]2-1-13-Supreme Court Ruling'!AE6</f>
        <v>6654</v>
      </c>
      <c r="E8" s="13">
        <f t="shared" ref="E8:E39" si="12">ROUND($D$4*D8,0)</f>
        <v>1464</v>
      </c>
      <c r="F8" s="13">
        <f>'[4]CTE-Oct 2012-Supreme Court'!AC7</f>
        <v>2987</v>
      </c>
      <c r="G8" s="13">
        <f t="shared" ref="G8:G39" si="13">ROUND($F$4*F8,0)</f>
        <v>179</v>
      </c>
      <c r="H8" s="1286">
        <f>'[5]SWD 2-1-13 Supreme Court'!Z6</f>
        <v>928</v>
      </c>
      <c r="I8" s="1286">
        <f>$H$4*H8</f>
        <v>1392</v>
      </c>
      <c r="J8" s="1286">
        <f>'[6]GT_PS-12th Supreme Court'!T5</f>
        <v>84</v>
      </c>
      <c r="K8" s="1286">
        <f>$J$4*J8</f>
        <v>50.4</v>
      </c>
      <c r="L8" s="15">
        <f t="shared" ref="L8:L39" si="14">IF(C8&lt;$L$4,$L$4-C8,0)</f>
        <v>0</v>
      </c>
      <c r="M8" s="65">
        <f t="shared" ref="M8:M39" si="15">ROUND(L8/$M$4,5)</f>
        <v>0</v>
      </c>
      <c r="N8" s="13">
        <f t="shared" ref="N8:N39" si="16" xml:space="preserve"> ROUND(C8*M8,0)</f>
        <v>0</v>
      </c>
      <c r="O8" s="13">
        <f>E8+G8+I8+K8+N8</f>
        <v>3085.4</v>
      </c>
      <c r="P8" s="13">
        <f t="shared" ref="P8:P39" si="17">O8+C8</f>
        <v>12671.4</v>
      </c>
      <c r="Q8" s="383">
        <f>$Q$4</f>
        <v>3855</v>
      </c>
      <c r="R8" s="383">
        <f t="shared" ref="R8:R39" si="18">ROUND(P8*Q8,0)</f>
        <v>48848247</v>
      </c>
      <c r="S8" s="383">
        <f>'Table 6 (Local Deduct Calc.)'!J9</f>
        <v>11555710</v>
      </c>
      <c r="T8" s="383">
        <f>IF((S8&gt;R8*$T$4),R8*$T$4,S8)</f>
        <v>11555710</v>
      </c>
      <c r="U8" s="384">
        <f>R8-T8</f>
        <v>37292537</v>
      </c>
      <c r="V8" s="385">
        <f>ROUND(U8/R8,4)</f>
        <v>0.76339999999999997</v>
      </c>
      <c r="W8" s="385">
        <f>ROUND(T8/R8,4)</f>
        <v>0.2366</v>
      </c>
      <c r="X8" s="386">
        <f t="shared" ref="X8:X39" si="19">T8/C8</f>
        <v>1205.4777800959732</v>
      </c>
      <c r="Y8" s="383">
        <f>'Table 7 Local Revenue'!AQ8</f>
        <v>20575110</v>
      </c>
      <c r="Z8" s="383">
        <f>IF(Y8-T8&gt;0,Y8-T8,0)</f>
        <v>9019400</v>
      </c>
      <c r="AA8" s="280">
        <f>IF(Y8-T8&lt;0,Y8-T8,0)</f>
        <v>0</v>
      </c>
      <c r="AB8" s="14">
        <f>R8*$AB$4</f>
        <v>16608403.98</v>
      </c>
      <c r="AC8" s="14">
        <f>IF(Z8&lt;AB8,Z8,AB8)</f>
        <v>9019400</v>
      </c>
      <c r="AD8" s="383">
        <f>IF(AC8&gt;0,AC8*(W8*$AD$4),0)</f>
        <v>3670462.8687999998</v>
      </c>
      <c r="AE8" s="387">
        <f>IF(AC8-AD8&gt;AC8*$AE$4,AC8-AD8,AC8*$AE$4)</f>
        <v>5348937.1312000006</v>
      </c>
      <c r="AF8" s="16">
        <f>IF(AC8=0,0,ROUND(AE8/AC8,4))</f>
        <v>0.59299999999999997</v>
      </c>
      <c r="AG8" s="387">
        <f>U8+AE8</f>
        <v>42641474.131200001</v>
      </c>
      <c r="AH8" s="14">
        <f t="shared" ref="AH8:AH39" si="20">ROUND(AG8/C8,0)</f>
        <v>4448</v>
      </c>
      <c r="AI8" s="387">
        <f>'Table 4 Level 3'!O6</f>
        <v>1431007</v>
      </c>
      <c r="AJ8" s="14">
        <f t="shared" ref="AJ8:AJ39" si="21">AI8/C8</f>
        <v>149.28093052368035</v>
      </c>
      <c r="AK8" s="387">
        <f>AI8+AG8</f>
        <v>44072481.131200001</v>
      </c>
      <c r="AL8" s="14">
        <f t="shared" ref="AL8:AL39" si="22">AK8/C8</f>
        <v>4597.5882673899441</v>
      </c>
      <c r="AM8" s="505">
        <f>'Table 4 Level 3'!R6</f>
        <v>8883930.2800000012</v>
      </c>
      <c r="AN8" s="506">
        <f t="shared" ref="AN8:AN39" si="23">AM8/C8</f>
        <v>926.76093052368049</v>
      </c>
      <c r="AO8" s="387">
        <f>AG8+AM8</f>
        <v>51525404.411200002</v>
      </c>
      <c r="AP8" s="14">
        <f t="shared" ref="AP8:AP39" si="24">AO8/C8</f>
        <v>5375.0682673899437</v>
      </c>
      <c r="AQ8" s="16">
        <f>AO8/AW8</f>
        <v>0.71463296527044073</v>
      </c>
      <c r="AR8" s="388">
        <f>RANK(AQ8,$AQ$8:$AQ$76)</f>
        <v>13</v>
      </c>
      <c r="AS8" s="14">
        <f>ROUND(AC8+T8,2)</f>
        <v>20575110</v>
      </c>
      <c r="AT8" s="14">
        <f t="shared" ref="AT8:AT39" si="25">ROUND(AS8/C8,2)</f>
        <v>2146.37</v>
      </c>
      <c r="AU8" s="388">
        <f>RANK(AT8,$AT$8:$AT$76)</f>
        <v>62</v>
      </c>
      <c r="AV8" s="16">
        <f>AS8/AW8</f>
        <v>0.28536703472955927</v>
      </c>
      <c r="AW8" s="388">
        <f>AO8+AS8</f>
        <v>72100514.411200002</v>
      </c>
      <c r="AX8" s="389">
        <f t="shared" ref="AX8:AX39" si="26">AW8/C8</f>
        <v>7521.4390163989156</v>
      </c>
      <c r="AY8" s="388">
        <f>RANK(AX8,$AX$8:$AX$76)</f>
        <v>67</v>
      </c>
      <c r="AZ8" s="1212">
        <v>50486266.004192002</v>
      </c>
      <c r="BA8" s="280">
        <f>AO8-AZ8</f>
        <v>1039138.4070079997</v>
      </c>
      <c r="BB8" s="1872"/>
      <c r="BC8" s="347"/>
      <c r="BD8" s="347"/>
      <c r="BE8" s="347"/>
      <c r="BF8" s="347"/>
      <c r="BG8" s="347"/>
      <c r="BH8" s="347"/>
      <c r="BI8" s="347"/>
      <c r="BJ8" s="347"/>
      <c r="BK8" s="347"/>
      <c r="BL8" s="1897"/>
      <c r="BM8" s="1897"/>
      <c r="BN8" s="1898"/>
      <c r="BO8" s="1897"/>
      <c r="BP8" s="1897"/>
      <c r="BQ8" s="1880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</row>
    <row r="9" spans="1:149" s="5" customFormat="1">
      <c r="A9" s="101">
        <v>2</v>
      </c>
      <c r="B9" s="81" t="s">
        <v>94</v>
      </c>
      <c r="C9" s="81">
        <f>'2-1-13 SIS'!S8</f>
        <v>4083</v>
      </c>
      <c r="D9" s="13">
        <f>'[3]2-1-13-Supreme Court Ruling'!AE7</f>
        <v>2659</v>
      </c>
      <c r="E9" s="13">
        <f t="shared" si="12"/>
        <v>585</v>
      </c>
      <c r="F9" s="13">
        <f>'[4]CTE-Oct 2012-Supreme Court'!AC8</f>
        <v>1498</v>
      </c>
      <c r="G9" s="13">
        <f t="shared" si="13"/>
        <v>90</v>
      </c>
      <c r="H9" s="1286">
        <f>'[5]SWD 2-1-13 Supreme Court'!Z7</f>
        <v>445</v>
      </c>
      <c r="I9" s="1286">
        <f t="shared" ref="I9:I72" si="27">$H$4*H9</f>
        <v>667.5</v>
      </c>
      <c r="J9" s="1286">
        <f>'[6]GT_PS-12th Supreme Court'!T6</f>
        <v>54</v>
      </c>
      <c r="K9" s="1286">
        <f t="shared" ref="K9:K72" si="28">$J$4*J9</f>
        <v>32.4</v>
      </c>
      <c r="L9" s="13">
        <f t="shared" si="14"/>
        <v>3417</v>
      </c>
      <c r="M9" s="65">
        <f t="shared" si="15"/>
        <v>9.1120000000000007E-2</v>
      </c>
      <c r="N9" s="13">
        <f t="shared" si="16"/>
        <v>372</v>
      </c>
      <c r="O9" s="13">
        <f t="shared" ref="O9:O72" si="29">E9+G9+I9+K9+N9</f>
        <v>1746.9</v>
      </c>
      <c r="P9" s="13">
        <f t="shared" si="17"/>
        <v>5829.9</v>
      </c>
      <c r="Q9" s="383">
        <f t="shared" ref="Q9:Q72" si="30">$Q$4</f>
        <v>3855</v>
      </c>
      <c r="R9" s="383">
        <f t="shared" si="18"/>
        <v>22474265</v>
      </c>
      <c r="S9" s="383">
        <f>'Table 6 (Local Deduct Calc.)'!J10</f>
        <v>3345296</v>
      </c>
      <c r="T9" s="383">
        <f t="shared" ref="T9:T72" si="31">IF((S9&gt;R9*$T$4),R9*$T$4,S9)</f>
        <v>3345296</v>
      </c>
      <c r="U9" s="384">
        <f t="shared" ref="U9:U72" si="32">R9-T9</f>
        <v>19128969</v>
      </c>
      <c r="V9" s="385">
        <f>ROUND(U9/R9,4)</f>
        <v>0.85109999999999997</v>
      </c>
      <c r="W9" s="385">
        <f t="shared" ref="W9:W72" si="33">ROUND(T9/R9,4)</f>
        <v>0.1489</v>
      </c>
      <c r="X9" s="386">
        <f t="shared" si="19"/>
        <v>819.32304677932893</v>
      </c>
      <c r="Y9" s="383">
        <f>'Table 7 Local Revenue'!AQ9</f>
        <v>10744736</v>
      </c>
      <c r="Z9" s="383">
        <f t="shared" ref="Z9:Z72" si="34">IF(Y9-T9&gt;0,Y9-T9,0)</f>
        <v>7399440</v>
      </c>
      <c r="AA9" s="280">
        <f t="shared" ref="AA9:AA72" si="35">IF(Y9-T9&lt;0,Y9-T9,0)</f>
        <v>0</v>
      </c>
      <c r="AB9" s="14">
        <f t="shared" ref="AB9:AB72" si="36">R9*$AB$4</f>
        <v>7641250.1000000006</v>
      </c>
      <c r="AC9" s="14">
        <f t="shared" ref="AC9:AC72" si="37">IF(Z9&lt;AB9,Z9,AB9)</f>
        <v>7399440</v>
      </c>
      <c r="AD9" s="383">
        <f t="shared" ref="AD9:AD72" si="38">IF(AC9&gt;0,AC9*(W9*$AD$4),0)</f>
        <v>1895055.7795200001</v>
      </c>
      <c r="AE9" s="387">
        <f t="shared" ref="AE9:AE72" si="39">IF(AC9-AD9&gt;AC9*$AE$4,AC9-AD9,AC9*$AE$4)</f>
        <v>5504384.2204799997</v>
      </c>
      <c r="AF9" s="16">
        <f t="shared" ref="AF9:AF72" si="40">IF(AC9=0,0,ROUND(AE9/AC9,4))</f>
        <v>0.74390000000000001</v>
      </c>
      <c r="AG9" s="387">
        <f t="shared" ref="AG9:AG72" si="41">U9+AE9</f>
        <v>24633353.220479999</v>
      </c>
      <c r="AH9" s="14">
        <f t="shared" si="20"/>
        <v>6033</v>
      </c>
      <c r="AI9" s="387">
        <f>'Table 4 Level 3'!O7</f>
        <v>609514</v>
      </c>
      <c r="AJ9" s="14">
        <f t="shared" si="21"/>
        <v>149.28092089150135</v>
      </c>
      <c r="AK9" s="387">
        <f t="shared" ref="AK9:AK72" si="42">AI9+AG9</f>
        <v>25242867.220479999</v>
      </c>
      <c r="AL9" s="14">
        <f t="shared" si="22"/>
        <v>6182.4313545138375</v>
      </c>
      <c r="AM9" s="505">
        <f>'Table 4 Level 3'!R7</f>
        <v>4048706.56</v>
      </c>
      <c r="AN9" s="506">
        <f t="shared" si="23"/>
        <v>991.60092089150135</v>
      </c>
      <c r="AO9" s="387">
        <f t="shared" ref="AO9:AO72" si="43">AG9+AM9</f>
        <v>28682059.780479997</v>
      </c>
      <c r="AP9" s="14">
        <f t="shared" si="24"/>
        <v>7024.7513545138372</v>
      </c>
      <c r="AQ9" s="16">
        <f t="shared" ref="AQ9:AQ72" si="44">AO9/AW9</f>
        <v>0.72747630672742458</v>
      </c>
      <c r="AR9" s="388">
        <f t="shared" ref="AR9:AR72" si="45">RANK(AQ9,$AQ$8:$AQ$76)</f>
        <v>12</v>
      </c>
      <c r="AS9" s="14">
        <f t="shared" ref="AS9:AS72" si="46">ROUND(AC9+T9,2)</f>
        <v>10744736</v>
      </c>
      <c r="AT9" s="14">
        <f t="shared" si="25"/>
        <v>2631.58</v>
      </c>
      <c r="AU9" s="388">
        <f t="shared" ref="AU9:AU72" si="47">RANK(AT9,$AT$8:$AT$76)</f>
        <v>55</v>
      </c>
      <c r="AV9" s="16">
        <f t="shared" ref="AV9:AV72" si="48">AS9/AW9</f>
        <v>0.27252369327257536</v>
      </c>
      <c r="AW9" s="388">
        <f t="shared" ref="AW9:AW72" si="49">AO9+AS9</f>
        <v>39426795.780479997</v>
      </c>
      <c r="AX9" s="389">
        <f t="shared" si="26"/>
        <v>9656.3300956355615</v>
      </c>
      <c r="AY9" s="388">
        <f t="shared" ref="AY9:AY72" si="50">RANK(AX9,$AX$8:$AX$76)</f>
        <v>8</v>
      </c>
      <c r="AZ9" s="1212">
        <v>28090970.458928</v>
      </c>
      <c r="BA9" s="280">
        <f t="shared" ref="BA9:BA72" si="51">AO9-AZ9</f>
        <v>591089.32155199721</v>
      </c>
      <c r="BB9" s="1872"/>
      <c r="BC9" s="347"/>
      <c r="BD9" s="347"/>
      <c r="BE9" s="347"/>
      <c r="BF9" s="347"/>
      <c r="BG9" s="347"/>
      <c r="BH9" s="347"/>
      <c r="BI9" s="347"/>
      <c r="BJ9" s="347"/>
      <c r="BK9" s="347"/>
      <c r="BL9" s="168"/>
      <c r="BM9" s="168"/>
      <c r="BN9" s="1899"/>
      <c r="BO9" s="168"/>
      <c r="BP9" s="168"/>
      <c r="BQ9" s="1881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</row>
    <row r="10" spans="1:149" s="5" customFormat="1">
      <c r="A10" s="101">
        <v>3</v>
      </c>
      <c r="B10" s="81" t="s">
        <v>95</v>
      </c>
      <c r="C10" s="81">
        <f>'2-1-13 SIS'!S9</f>
        <v>20592</v>
      </c>
      <c r="D10" s="13">
        <f>'[3]2-1-13-Supreme Court Ruling'!AE8</f>
        <v>9983</v>
      </c>
      <c r="E10" s="13">
        <f t="shared" si="12"/>
        <v>2196</v>
      </c>
      <c r="F10" s="13">
        <f>'[4]CTE-Oct 2012-Supreme Court'!AC9</f>
        <v>7749.5</v>
      </c>
      <c r="G10" s="13">
        <f t="shared" si="13"/>
        <v>465</v>
      </c>
      <c r="H10" s="1286">
        <f>'[5]SWD 2-1-13 Supreme Court'!Z8</f>
        <v>2246</v>
      </c>
      <c r="I10" s="1286">
        <f t="shared" si="27"/>
        <v>3369</v>
      </c>
      <c r="J10" s="1286">
        <f>'[6]GT_PS-12th Supreme Court'!T7</f>
        <v>546</v>
      </c>
      <c r="K10" s="1286">
        <f t="shared" si="28"/>
        <v>327.59999999999997</v>
      </c>
      <c r="L10" s="13">
        <f t="shared" si="14"/>
        <v>0</v>
      </c>
      <c r="M10" s="65">
        <f t="shared" si="15"/>
        <v>0</v>
      </c>
      <c r="N10" s="13">
        <f t="shared" si="16"/>
        <v>0</v>
      </c>
      <c r="O10" s="13">
        <f t="shared" si="29"/>
        <v>6357.6</v>
      </c>
      <c r="P10" s="13">
        <f t="shared" si="17"/>
        <v>26949.599999999999</v>
      </c>
      <c r="Q10" s="383">
        <f t="shared" si="30"/>
        <v>3855</v>
      </c>
      <c r="R10" s="383">
        <f t="shared" si="18"/>
        <v>103890708</v>
      </c>
      <c r="S10" s="383">
        <f>'Table 6 (Local Deduct Calc.)'!J11</f>
        <v>35121591</v>
      </c>
      <c r="T10" s="383">
        <f t="shared" si="31"/>
        <v>35121591</v>
      </c>
      <c r="U10" s="384">
        <f t="shared" si="32"/>
        <v>68769117</v>
      </c>
      <c r="V10" s="385">
        <f t="shared" ref="V10:V72" si="52">ROUND(U10/R10,4)</f>
        <v>0.66190000000000004</v>
      </c>
      <c r="W10" s="385">
        <f t="shared" si="33"/>
        <v>0.33810000000000001</v>
      </c>
      <c r="X10" s="386">
        <f t="shared" si="19"/>
        <v>1705.5939685314686</v>
      </c>
      <c r="Y10" s="383">
        <f>'Table 7 Local Revenue'!AQ10</f>
        <v>103883659</v>
      </c>
      <c r="Z10" s="383">
        <f t="shared" si="34"/>
        <v>68762068</v>
      </c>
      <c r="AA10" s="280">
        <f t="shared" si="35"/>
        <v>0</v>
      </c>
      <c r="AB10" s="14">
        <f t="shared" si="36"/>
        <v>35322840.720000006</v>
      </c>
      <c r="AC10" s="14">
        <f t="shared" si="37"/>
        <v>35322840.720000006</v>
      </c>
      <c r="AD10" s="383">
        <f t="shared" si="38"/>
        <v>20541362.209583044</v>
      </c>
      <c r="AE10" s="387">
        <f t="shared" si="39"/>
        <v>14781478.510416962</v>
      </c>
      <c r="AF10" s="16">
        <f t="shared" si="40"/>
        <v>0.41849999999999998</v>
      </c>
      <c r="AG10" s="387">
        <f t="shared" si="41"/>
        <v>83550595.510416955</v>
      </c>
      <c r="AH10" s="14">
        <f t="shared" si="20"/>
        <v>4057</v>
      </c>
      <c r="AI10" s="387">
        <f>'Table 4 Level 3'!O8</f>
        <v>3073992</v>
      </c>
      <c r="AJ10" s="14">
        <f t="shared" si="21"/>
        <v>149.28088578088577</v>
      </c>
      <c r="AK10" s="387">
        <f>AI10+AG10</f>
        <v>86624587.510416955</v>
      </c>
      <c r="AL10" s="14">
        <f t="shared" si="22"/>
        <v>4206.710737685361</v>
      </c>
      <c r="AM10" s="505">
        <f>'Table 4 Level 3'!R8</f>
        <v>15364121.280000001</v>
      </c>
      <c r="AN10" s="506">
        <f t="shared" si="23"/>
        <v>746.12088578088583</v>
      </c>
      <c r="AO10" s="387">
        <f t="shared" si="43"/>
        <v>98914716.790416956</v>
      </c>
      <c r="AP10" s="14">
        <f t="shared" si="24"/>
        <v>4803.5507376853611</v>
      </c>
      <c r="AQ10" s="16">
        <f t="shared" si="44"/>
        <v>0.58405298834112229</v>
      </c>
      <c r="AR10" s="388">
        <f t="shared" si="45"/>
        <v>46</v>
      </c>
      <c r="AS10" s="14">
        <f t="shared" si="46"/>
        <v>70444431.719999999</v>
      </c>
      <c r="AT10" s="14">
        <f t="shared" si="25"/>
        <v>3420.96</v>
      </c>
      <c r="AU10" s="388">
        <f t="shared" si="47"/>
        <v>32</v>
      </c>
      <c r="AV10" s="16">
        <f t="shared" si="48"/>
        <v>0.41594701165887771</v>
      </c>
      <c r="AW10" s="388">
        <f t="shared" si="49"/>
        <v>169359148.51041695</v>
      </c>
      <c r="AX10" s="389">
        <f t="shared" si="26"/>
        <v>8224.5118740489979</v>
      </c>
      <c r="AY10" s="388">
        <f t="shared" si="50"/>
        <v>58</v>
      </c>
      <c r="AZ10" s="1212">
        <v>99168985.724354401</v>
      </c>
      <c r="BA10" s="280">
        <f t="shared" si="51"/>
        <v>-254268.93393744528</v>
      </c>
      <c r="BB10" s="1873"/>
      <c r="BC10" s="347"/>
      <c r="BD10" s="347"/>
      <c r="BE10" s="347"/>
      <c r="BF10" s="347"/>
      <c r="BG10" s="347"/>
      <c r="BH10" s="347"/>
      <c r="BI10" s="347"/>
      <c r="BJ10" s="347"/>
      <c r="BK10" s="347"/>
      <c r="BL10" s="168"/>
      <c r="BM10" s="168"/>
      <c r="BN10" s="1899"/>
      <c r="BO10" s="168"/>
      <c r="BP10" s="168"/>
      <c r="BQ10" s="1881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</row>
    <row r="11" spans="1:149" s="5" customFormat="1">
      <c r="A11" s="101">
        <v>4</v>
      </c>
      <c r="B11" s="81" t="s">
        <v>96</v>
      </c>
      <c r="C11" s="81">
        <f>'2-1-13 SIS'!S10</f>
        <v>3551</v>
      </c>
      <c r="D11" s="13">
        <f>'[3]2-1-13-Supreme Court Ruling'!AE9</f>
        <v>2382</v>
      </c>
      <c r="E11" s="13">
        <f t="shared" si="12"/>
        <v>524</v>
      </c>
      <c r="F11" s="13">
        <f>'[4]CTE-Oct 2012-Supreme Court'!AC10</f>
        <v>1685</v>
      </c>
      <c r="G11" s="13">
        <f t="shared" si="13"/>
        <v>101</v>
      </c>
      <c r="H11" s="1286">
        <f>'[5]SWD 2-1-13 Supreme Court'!Z9</f>
        <v>485</v>
      </c>
      <c r="I11" s="1286">
        <f t="shared" si="27"/>
        <v>727.5</v>
      </c>
      <c r="J11" s="1286">
        <f>'[6]GT_PS-12th Supreme Court'!T8</f>
        <v>90</v>
      </c>
      <c r="K11" s="1286">
        <f t="shared" si="28"/>
        <v>54</v>
      </c>
      <c r="L11" s="13">
        <f t="shared" si="14"/>
        <v>3949</v>
      </c>
      <c r="M11" s="65">
        <f t="shared" si="15"/>
        <v>0.10531</v>
      </c>
      <c r="N11" s="13">
        <f t="shared" si="16"/>
        <v>374</v>
      </c>
      <c r="O11" s="13">
        <f t="shared" si="29"/>
        <v>1780.5</v>
      </c>
      <c r="P11" s="13">
        <f t="shared" si="17"/>
        <v>5331.5</v>
      </c>
      <c r="Q11" s="383">
        <f t="shared" si="30"/>
        <v>3855</v>
      </c>
      <c r="R11" s="383">
        <f t="shared" si="18"/>
        <v>20552933</v>
      </c>
      <c r="S11" s="383">
        <f>'Table 6 (Local Deduct Calc.)'!J12</f>
        <v>4334534</v>
      </c>
      <c r="T11" s="383">
        <f t="shared" si="31"/>
        <v>4334534</v>
      </c>
      <c r="U11" s="384">
        <f t="shared" si="32"/>
        <v>16218399</v>
      </c>
      <c r="V11" s="385">
        <f t="shared" si="52"/>
        <v>0.78910000000000002</v>
      </c>
      <c r="W11" s="385">
        <f t="shared" si="33"/>
        <v>0.2109</v>
      </c>
      <c r="X11" s="386">
        <f t="shared" si="19"/>
        <v>1220.651647423261</v>
      </c>
      <c r="Y11" s="383">
        <f>'Table 7 Local Revenue'!AQ11</f>
        <v>12413215</v>
      </c>
      <c r="Z11" s="383">
        <f t="shared" si="34"/>
        <v>8078681</v>
      </c>
      <c r="AA11" s="280">
        <f t="shared" si="35"/>
        <v>0</v>
      </c>
      <c r="AB11" s="14">
        <f t="shared" si="36"/>
        <v>6987997.2200000007</v>
      </c>
      <c r="AC11" s="14">
        <f t="shared" si="37"/>
        <v>6987997.2200000007</v>
      </c>
      <c r="AD11" s="383">
        <f t="shared" si="38"/>
        <v>2534882.0155605604</v>
      </c>
      <c r="AE11" s="387">
        <f t="shared" si="39"/>
        <v>4453115.2044394407</v>
      </c>
      <c r="AF11" s="16">
        <f t="shared" si="40"/>
        <v>0.63729999999999998</v>
      </c>
      <c r="AG11" s="387">
        <f t="shared" si="41"/>
        <v>20671514.204439439</v>
      </c>
      <c r="AH11" s="14">
        <f t="shared" si="20"/>
        <v>5821</v>
      </c>
      <c r="AI11" s="387">
        <f>'Table 4 Level 3'!O9</f>
        <v>590096</v>
      </c>
      <c r="AJ11" s="14">
        <f t="shared" si="21"/>
        <v>166.17741481272881</v>
      </c>
      <c r="AK11" s="387">
        <f t="shared" si="42"/>
        <v>21261610.204439439</v>
      </c>
      <c r="AL11" s="14">
        <f t="shared" si="22"/>
        <v>5987.4993535453223</v>
      </c>
      <c r="AM11" s="505">
        <f>'Table 4 Level 3'!R9</f>
        <v>2670129.7599999998</v>
      </c>
      <c r="AN11" s="506">
        <f t="shared" si="23"/>
        <v>751.93741481272878</v>
      </c>
      <c r="AO11" s="387">
        <f t="shared" si="43"/>
        <v>23341643.964439437</v>
      </c>
      <c r="AP11" s="14">
        <f t="shared" si="24"/>
        <v>6573.2593535453216</v>
      </c>
      <c r="AQ11" s="16">
        <f t="shared" si="44"/>
        <v>0.67336504735059666</v>
      </c>
      <c r="AR11" s="388">
        <f t="shared" si="45"/>
        <v>26</v>
      </c>
      <c r="AS11" s="14">
        <f t="shared" si="46"/>
        <v>11322531.220000001</v>
      </c>
      <c r="AT11" s="14">
        <f t="shared" si="25"/>
        <v>3188.55</v>
      </c>
      <c r="AU11" s="388">
        <f t="shared" si="47"/>
        <v>36</v>
      </c>
      <c r="AV11" s="16">
        <f t="shared" si="48"/>
        <v>0.32663495264940345</v>
      </c>
      <c r="AW11" s="388">
        <f t="shared" si="49"/>
        <v>34664175.184439436</v>
      </c>
      <c r="AX11" s="389">
        <f t="shared" si="26"/>
        <v>9761.8065853110202</v>
      </c>
      <c r="AY11" s="388">
        <f t="shared" si="50"/>
        <v>6</v>
      </c>
      <c r="AZ11" s="1212">
        <v>23793975.173258767</v>
      </c>
      <c r="BA11" s="280">
        <f t="shared" si="51"/>
        <v>-452331.20881932974</v>
      </c>
      <c r="BB11" s="1872"/>
      <c r="BC11" s="347"/>
      <c r="BD11" s="347"/>
      <c r="BE11" s="347"/>
      <c r="BF11" s="347"/>
      <c r="BG11" s="347"/>
      <c r="BH11" s="347"/>
      <c r="BI11" s="347"/>
      <c r="BJ11" s="347"/>
      <c r="BK11" s="347"/>
      <c r="BL11" s="168"/>
      <c r="BM11" s="168"/>
      <c r="BN11" s="1899"/>
      <c r="BO11" s="168"/>
      <c r="BP11" s="168"/>
      <c r="BQ11" s="188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</row>
    <row r="12" spans="1:149" s="21" customFormat="1">
      <c r="A12" s="102">
        <v>5</v>
      </c>
      <c r="B12" s="82" t="s">
        <v>97</v>
      </c>
      <c r="C12" s="82">
        <f>'2-1-13 SIS'!S11</f>
        <v>5757</v>
      </c>
      <c r="D12" s="19">
        <f>'[3]2-1-13-Supreme Court Ruling'!AE10</f>
        <v>4845</v>
      </c>
      <c r="E12" s="19">
        <f t="shared" si="12"/>
        <v>1066</v>
      </c>
      <c r="F12" s="19">
        <f>'[4]CTE-Oct 2012-Supreme Court'!AC11</f>
        <v>2215</v>
      </c>
      <c r="G12" s="19">
        <f t="shared" si="13"/>
        <v>133</v>
      </c>
      <c r="H12" s="19">
        <f>'[5]SWD 2-1-13 Supreme Court'!Z10</f>
        <v>553</v>
      </c>
      <c r="I12" s="19">
        <f t="shared" si="27"/>
        <v>829.5</v>
      </c>
      <c r="J12" s="19">
        <f>'[6]GT_PS-12th Supreme Court'!T9</f>
        <v>5</v>
      </c>
      <c r="K12" s="19">
        <f t="shared" si="28"/>
        <v>3</v>
      </c>
      <c r="L12" s="19">
        <f t="shared" si="14"/>
        <v>1743</v>
      </c>
      <c r="M12" s="66">
        <f t="shared" si="15"/>
        <v>4.648E-2</v>
      </c>
      <c r="N12" s="19">
        <f t="shared" si="16"/>
        <v>268</v>
      </c>
      <c r="O12" s="19">
        <f t="shared" si="29"/>
        <v>2299.5</v>
      </c>
      <c r="P12" s="13">
        <f t="shared" si="17"/>
        <v>8056.5</v>
      </c>
      <c r="Q12" s="390">
        <f t="shared" si="30"/>
        <v>3855</v>
      </c>
      <c r="R12" s="390">
        <f t="shared" si="18"/>
        <v>31057808</v>
      </c>
      <c r="S12" s="390">
        <f>'Table 6 (Local Deduct Calc.)'!J13</f>
        <v>5542489.5</v>
      </c>
      <c r="T12" s="390">
        <f t="shared" si="31"/>
        <v>5542489.5</v>
      </c>
      <c r="U12" s="391">
        <f t="shared" si="32"/>
        <v>25515318.5</v>
      </c>
      <c r="V12" s="392">
        <f t="shared" si="52"/>
        <v>0.82150000000000001</v>
      </c>
      <c r="W12" s="393">
        <f t="shared" si="33"/>
        <v>0.17849999999999999</v>
      </c>
      <c r="X12" s="394">
        <f t="shared" si="19"/>
        <v>962.73918707660243</v>
      </c>
      <c r="Y12" s="390">
        <f>'Table 7 Local Revenue'!AQ12</f>
        <v>8911093.5</v>
      </c>
      <c r="Z12" s="390">
        <f t="shared" si="34"/>
        <v>3368604</v>
      </c>
      <c r="AA12" s="281">
        <f t="shared" si="35"/>
        <v>0</v>
      </c>
      <c r="AB12" s="20">
        <f t="shared" si="36"/>
        <v>10559654.720000001</v>
      </c>
      <c r="AC12" s="20">
        <f t="shared" si="37"/>
        <v>3368604</v>
      </c>
      <c r="AD12" s="390">
        <f t="shared" si="38"/>
        <v>1034228.8000799998</v>
      </c>
      <c r="AE12" s="395">
        <f t="shared" si="39"/>
        <v>2334375.19992</v>
      </c>
      <c r="AF12" s="274">
        <f t="shared" si="40"/>
        <v>0.69299999999999995</v>
      </c>
      <c r="AG12" s="395">
        <f t="shared" si="41"/>
        <v>27849693.699919999</v>
      </c>
      <c r="AH12" s="20">
        <f t="shared" si="20"/>
        <v>4838</v>
      </c>
      <c r="AI12" s="395">
        <f>'Table 4 Level 3'!O10</f>
        <v>859410</v>
      </c>
      <c r="AJ12" s="20">
        <f t="shared" si="21"/>
        <v>149.28087545596665</v>
      </c>
      <c r="AK12" s="395">
        <f t="shared" si="42"/>
        <v>28709103.699919999</v>
      </c>
      <c r="AL12" s="20">
        <f t="shared" si="22"/>
        <v>4986.8166927080074</v>
      </c>
      <c r="AM12" s="507">
        <f>'Table 4 Level 3'!R10</f>
        <v>4059783.8699999996</v>
      </c>
      <c r="AN12" s="508">
        <f t="shared" si="23"/>
        <v>705.19087545596653</v>
      </c>
      <c r="AO12" s="395">
        <f t="shared" si="43"/>
        <v>31909477.56992</v>
      </c>
      <c r="AP12" s="20">
        <f t="shared" si="24"/>
        <v>5542.7266927080072</v>
      </c>
      <c r="AQ12" s="274">
        <f t="shared" si="44"/>
        <v>0.78170091043712908</v>
      </c>
      <c r="AR12" s="396">
        <f t="shared" si="45"/>
        <v>3</v>
      </c>
      <c r="AS12" s="20">
        <f t="shared" si="46"/>
        <v>8911093.5</v>
      </c>
      <c r="AT12" s="20">
        <f t="shared" si="25"/>
        <v>1547.87</v>
      </c>
      <c r="AU12" s="396">
        <f t="shared" si="47"/>
        <v>69</v>
      </c>
      <c r="AV12" s="274">
        <f t="shared" si="48"/>
        <v>0.21829908956287081</v>
      </c>
      <c r="AW12" s="396">
        <f t="shared" si="49"/>
        <v>40820571.069920003</v>
      </c>
      <c r="AX12" s="397">
        <f t="shared" si="26"/>
        <v>7090.5977192843502</v>
      </c>
      <c r="AY12" s="396">
        <f t="shared" si="50"/>
        <v>69</v>
      </c>
      <c r="AZ12" s="1213">
        <v>34501205.989194468</v>
      </c>
      <c r="BA12" s="281">
        <f t="shared" si="51"/>
        <v>-2591728.419274468</v>
      </c>
      <c r="BB12" s="1874"/>
      <c r="BC12" s="347"/>
      <c r="BD12" s="347"/>
      <c r="BE12" s="347"/>
      <c r="BF12" s="347"/>
      <c r="BG12" s="347"/>
      <c r="BH12" s="347"/>
      <c r="BI12" s="347"/>
      <c r="BJ12" s="347"/>
      <c r="BK12" s="347"/>
      <c r="BL12" s="168"/>
      <c r="BM12" s="168"/>
      <c r="BN12" s="1899"/>
      <c r="BO12" s="168"/>
      <c r="BP12" s="168"/>
      <c r="BQ12" s="188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</row>
    <row r="13" spans="1:149" s="5" customFormat="1">
      <c r="A13" s="101">
        <v>6</v>
      </c>
      <c r="B13" s="81" t="s">
        <v>98</v>
      </c>
      <c r="C13" s="81">
        <f>'2-1-13 SIS'!S12</f>
        <v>6057</v>
      </c>
      <c r="D13" s="81">
        <f>'[3]2-1-13-Supreme Court Ruling'!AE11</f>
        <v>3285</v>
      </c>
      <c r="E13" s="81">
        <f t="shared" si="12"/>
        <v>723</v>
      </c>
      <c r="F13" s="81">
        <f>'[4]CTE-Oct 2012-Supreme Court'!AC12</f>
        <v>1850.5</v>
      </c>
      <c r="G13" s="81">
        <f t="shared" si="13"/>
        <v>111</v>
      </c>
      <c r="H13" s="1287">
        <f>'[5]SWD 2-1-13 Supreme Court'!Z11</f>
        <v>936</v>
      </c>
      <c r="I13" s="1287">
        <f t="shared" si="27"/>
        <v>1404</v>
      </c>
      <c r="J13" s="1287">
        <f>'[6]GT_PS-12th Supreme Court'!T10</f>
        <v>76</v>
      </c>
      <c r="K13" s="1287">
        <f t="shared" si="28"/>
        <v>45.6</v>
      </c>
      <c r="L13" s="13">
        <f t="shared" si="14"/>
        <v>1443</v>
      </c>
      <c r="M13" s="65">
        <f t="shared" si="15"/>
        <v>3.848E-2</v>
      </c>
      <c r="N13" s="13">
        <f t="shared" si="16"/>
        <v>233</v>
      </c>
      <c r="O13" s="13">
        <f t="shared" si="29"/>
        <v>2516.6</v>
      </c>
      <c r="P13" s="36">
        <f t="shared" si="17"/>
        <v>8573.6</v>
      </c>
      <c r="Q13" s="383">
        <f t="shared" si="30"/>
        <v>3855</v>
      </c>
      <c r="R13" s="383">
        <f t="shared" si="18"/>
        <v>33051228</v>
      </c>
      <c r="S13" s="383">
        <f>'Table 6 (Local Deduct Calc.)'!J14</f>
        <v>7828692.5</v>
      </c>
      <c r="T13" s="383">
        <f t="shared" si="31"/>
        <v>7828692.5</v>
      </c>
      <c r="U13" s="384">
        <f t="shared" si="32"/>
        <v>25222535.5</v>
      </c>
      <c r="V13" s="385">
        <f t="shared" si="52"/>
        <v>0.7631</v>
      </c>
      <c r="W13" s="385">
        <f t="shared" si="33"/>
        <v>0.2369</v>
      </c>
      <c r="X13" s="386">
        <f t="shared" si="19"/>
        <v>1292.5033019646689</v>
      </c>
      <c r="Y13" s="383">
        <f>'Table 7 Local Revenue'!AQ13</f>
        <v>22299544.5</v>
      </c>
      <c r="Z13" s="383">
        <f t="shared" si="34"/>
        <v>14470852</v>
      </c>
      <c r="AA13" s="280">
        <f t="shared" si="35"/>
        <v>0</v>
      </c>
      <c r="AB13" s="14">
        <f t="shared" si="36"/>
        <v>11237417.520000001</v>
      </c>
      <c r="AC13" s="14">
        <f t="shared" si="37"/>
        <v>11237417.520000001</v>
      </c>
      <c r="AD13" s="383">
        <f t="shared" si="38"/>
        <v>4578888.0420393609</v>
      </c>
      <c r="AE13" s="387">
        <f t="shared" si="39"/>
        <v>6658529.4779606406</v>
      </c>
      <c r="AF13" s="16">
        <f t="shared" si="40"/>
        <v>0.59250000000000003</v>
      </c>
      <c r="AG13" s="387">
        <f t="shared" si="41"/>
        <v>31881064.977960639</v>
      </c>
      <c r="AH13" s="14">
        <f t="shared" si="20"/>
        <v>5264</v>
      </c>
      <c r="AI13" s="387">
        <f>'Table 4 Level 3'!O11</f>
        <v>904194</v>
      </c>
      <c r="AJ13" s="14">
        <f t="shared" si="21"/>
        <v>149.28083209509657</v>
      </c>
      <c r="AK13" s="387">
        <f t="shared" si="42"/>
        <v>32785258.977960639</v>
      </c>
      <c r="AL13" s="14">
        <f t="shared" si="22"/>
        <v>5412.7883404260592</v>
      </c>
      <c r="AM13" s="505">
        <f>'Table 4 Level 3'!R11</f>
        <v>4208166.3599999994</v>
      </c>
      <c r="AN13" s="506">
        <f t="shared" si="23"/>
        <v>694.76083209509648</v>
      </c>
      <c r="AO13" s="387">
        <f t="shared" si="43"/>
        <v>36089231.337960638</v>
      </c>
      <c r="AP13" s="14">
        <f t="shared" si="24"/>
        <v>5958.2683404260588</v>
      </c>
      <c r="AQ13" s="16">
        <f t="shared" si="44"/>
        <v>0.65431978933354629</v>
      </c>
      <c r="AR13" s="388">
        <f t="shared" si="45"/>
        <v>33</v>
      </c>
      <c r="AS13" s="14">
        <f t="shared" si="46"/>
        <v>19066110.02</v>
      </c>
      <c r="AT13" s="14">
        <f t="shared" si="25"/>
        <v>3147.78</v>
      </c>
      <c r="AU13" s="388">
        <f t="shared" si="47"/>
        <v>39</v>
      </c>
      <c r="AV13" s="16">
        <f t="shared" si="48"/>
        <v>0.34568021066645366</v>
      </c>
      <c r="AW13" s="388">
        <f t="shared" si="49"/>
        <v>55155341.357960641</v>
      </c>
      <c r="AX13" s="389">
        <f t="shared" si="26"/>
        <v>9106.0494234704711</v>
      </c>
      <c r="AY13" s="388">
        <f t="shared" si="50"/>
        <v>22</v>
      </c>
      <c r="AZ13" s="1212">
        <v>36755881.3706204</v>
      </c>
      <c r="BA13" s="280">
        <f t="shared" si="51"/>
        <v>-666650.03265976161</v>
      </c>
      <c r="BB13" s="1873"/>
      <c r="BC13" s="347"/>
      <c r="BD13" s="347"/>
      <c r="BE13" s="347"/>
      <c r="BF13" s="347"/>
      <c r="BG13" s="347"/>
      <c r="BH13" s="347"/>
      <c r="BI13" s="347"/>
      <c r="BJ13" s="347"/>
      <c r="BK13" s="347"/>
      <c r="BL13" s="168"/>
      <c r="BM13" s="168"/>
      <c r="BN13" s="1899"/>
      <c r="BO13" s="168"/>
      <c r="BP13" s="168"/>
      <c r="BQ13" s="1881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</row>
    <row r="14" spans="1:149" s="5" customFormat="1">
      <c r="A14" s="101">
        <v>7</v>
      </c>
      <c r="B14" s="81" t="s">
        <v>99</v>
      </c>
      <c r="C14" s="81">
        <f>'2-1-13 SIS'!S13</f>
        <v>2203</v>
      </c>
      <c r="D14" s="81">
        <f>'[3]2-1-13-Supreme Court Ruling'!AE12</f>
        <v>1551</v>
      </c>
      <c r="E14" s="81">
        <f t="shared" si="12"/>
        <v>341</v>
      </c>
      <c r="F14" s="81">
        <f>'[4]CTE-Oct 2012-Supreme Court'!AC13</f>
        <v>751.5</v>
      </c>
      <c r="G14" s="81">
        <f t="shared" si="13"/>
        <v>45</v>
      </c>
      <c r="H14" s="1287">
        <f>'[5]SWD 2-1-13 Supreme Court'!Z12</f>
        <v>210</v>
      </c>
      <c r="I14" s="1287">
        <f t="shared" si="27"/>
        <v>315</v>
      </c>
      <c r="J14" s="1287">
        <f>'[6]GT_PS-12th Supreme Court'!T11</f>
        <v>31</v>
      </c>
      <c r="K14" s="1287">
        <f t="shared" si="28"/>
        <v>18.599999999999998</v>
      </c>
      <c r="L14" s="13">
        <f t="shared" si="14"/>
        <v>5297</v>
      </c>
      <c r="M14" s="65">
        <f t="shared" si="15"/>
        <v>0.14124999999999999</v>
      </c>
      <c r="N14" s="13">
        <f t="shared" si="16"/>
        <v>311</v>
      </c>
      <c r="O14" s="13">
        <f t="shared" si="29"/>
        <v>1030.5999999999999</v>
      </c>
      <c r="P14" s="13">
        <f t="shared" si="17"/>
        <v>3233.6</v>
      </c>
      <c r="Q14" s="383">
        <f t="shared" si="30"/>
        <v>3855</v>
      </c>
      <c r="R14" s="383">
        <f t="shared" si="18"/>
        <v>12465528</v>
      </c>
      <c r="S14" s="383">
        <f>'Table 6 (Local Deduct Calc.)'!J15</f>
        <v>8903670.5</v>
      </c>
      <c r="T14" s="383">
        <f t="shared" si="31"/>
        <v>8903670.5</v>
      </c>
      <c r="U14" s="384">
        <f t="shared" si="32"/>
        <v>3561857.5</v>
      </c>
      <c r="V14" s="385">
        <f t="shared" si="52"/>
        <v>0.28570000000000001</v>
      </c>
      <c r="W14" s="385">
        <f t="shared" si="33"/>
        <v>0.71430000000000005</v>
      </c>
      <c r="X14" s="386">
        <f t="shared" si="19"/>
        <v>4041.6116659101226</v>
      </c>
      <c r="Y14" s="383">
        <f>'Table 7 Local Revenue'!AQ14</f>
        <v>28690249.5</v>
      </c>
      <c r="Z14" s="383">
        <f t="shared" si="34"/>
        <v>19786579</v>
      </c>
      <c r="AA14" s="280">
        <f t="shared" si="35"/>
        <v>0</v>
      </c>
      <c r="AB14" s="14">
        <f t="shared" si="36"/>
        <v>4238279.5200000005</v>
      </c>
      <c r="AC14" s="14">
        <f t="shared" si="37"/>
        <v>4238279.5200000005</v>
      </c>
      <c r="AD14" s="383">
        <f t="shared" si="38"/>
        <v>5207133.2651539203</v>
      </c>
      <c r="AE14" s="387">
        <f t="shared" si="39"/>
        <v>0</v>
      </c>
      <c r="AF14" s="16">
        <f t="shared" si="40"/>
        <v>0</v>
      </c>
      <c r="AG14" s="387">
        <f t="shared" si="41"/>
        <v>3561857.5</v>
      </c>
      <c r="AH14" s="14">
        <f t="shared" si="20"/>
        <v>1617</v>
      </c>
      <c r="AI14" s="387">
        <f>'Table 4 Level 3'!O12</f>
        <v>328866</v>
      </c>
      <c r="AJ14" s="14">
        <f t="shared" si="21"/>
        <v>149.28098048116206</v>
      </c>
      <c r="AK14" s="387">
        <f t="shared" si="42"/>
        <v>3890723.5</v>
      </c>
      <c r="AL14" s="14">
        <f t="shared" si="22"/>
        <v>1766.1023604176123</v>
      </c>
      <c r="AM14" s="505">
        <f>'Table 4 Level 3'!R12</f>
        <v>1996360.7599999995</v>
      </c>
      <c r="AN14" s="506">
        <f t="shared" si="23"/>
        <v>906.20098048116188</v>
      </c>
      <c r="AO14" s="387">
        <f t="shared" si="43"/>
        <v>5558218.2599999998</v>
      </c>
      <c r="AP14" s="14">
        <f t="shared" si="24"/>
        <v>2523.0223604176122</v>
      </c>
      <c r="AQ14" s="16">
        <f t="shared" si="44"/>
        <v>0.29722824825830924</v>
      </c>
      <c r="AR14" s="388">
        <f t="shared" si="45"/>
        <v>67</v>
      </c>
      <c r="AS14" s="14">
        <f t="shared" si="46"/>
        <v>13141950.02</v>
      </c>
      <c r="AT14" s="14">
        <f t="shared" si="25"/>
        <v>5965.48</v>
      </c>
      <c r="AU14" s="388">
        <f t="shared" si="47"/>
        <v>5</v>
      </c>
      <c r="AV14" s="16">
        <f t="shared" si="48"/>
        <v>0.70277175174169071</v>
      </c>
      <c r="AW14" s="388">
        <f t="shared" si="49"/>
        <v>18700168.280000001</v>
      </c>
      <c r="AX14" s="389">
        <f t="shared" si="26"/>
        <v>8488.5012619155696</v>
      </c>
      <c r="AY14" s="388">
        <f t="shared" si="50"/>
        <v>50</v>
      </c>
      <c r="AZ14" s="1212">
        <v>5101656.9479999999</v>
      </c>
      <c r="BA14" s="280">
        <f t="shared" si="51"/>
        <v>456561.31199999992</v>
      </c>
      <c r="BB14" s="1872"/>
      <c r="BC14" s="347"/>
      <c r="BD14" s="347"/>
      <c r="BE14" s="347"/>
      <c r="BF14" s="347"/>
      <c r="BG14" s="347"/>
      <c r="BH14" s="347"/>
      <c r="BI14" s="347"/>
      <c r="BJ14" s="347"/>
      <c r="BK14" s="347"/>
      <c r="BL14" s="168"/>
      <c r="BM14" s="168"/>
      <c r="BN14" s="1899"/>
      <c r="BO14" s="168"/>
      <c r="BP14" s="168"/>
      <c r="BQ14" s="1881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</row>
    <row r="15" spans="1:149" s="5" customFormat="1">
      <c r="A15" s="101">
        <v>8</v>
      </c>
      <c r="B15" s="81" t="s">
        <v>100</v>
      </c>
      <c r="C15" s="81">
        <f>'2-1-13 SIS'!S14</f>
        <v>21190</v>
      </c>
      <c r="D15" s="81">
        <f>'[3]2-1-13-Supreme Court Ruling'!AE13</f>
        <v>9893</v>
      </c>
      <c r="E15" s="81">
        <f t="shared" si="12"/>
        <v>2176</v>
      </c>
      <c r="F15" s="81">
        <f>'[4]CTE-Oct 2012-Supreme Court'!AC14</f>
        <v>6694</v>
      </c>
      <c r="G15" s="81">
        <f t="shared" si="13"/>
        <v>402</v>
      </c>
      <c r="H15" s="1287">
        <f>'[5]SWD 2-1-13 Supreme Court'!Z13</f>
        <v>2471</v>
      </c>
      <c r="I15" s="1287">
        <f t="shared" si="27"/>
        <v>3706.5</v>
      </c>
      <c r="J15" s="1287">
        <f>'[6]GT_PS-12th Supreme Court'!T12</f>
        <v>963</v>
      </c>
      <c r="K15" s="1287">
        <f t="shared" si="28"/>
        <v>577.79999999999995</v>
      </c>
      <c r="L15" s="13">
        <f t="shared" si="14"/>
        <v>0</v>
      </c>
      <c r="M15" s="65">
        <f t="shared" si="15"/>
        <v>0</v>
      </c>
      <c r="N15" s="13">
        <f t="shared" si="16"/>
        <v>0</v>
      </c>
      <c r="O15" s="13">
        <f t="shared" si="29"/>
        <v>6862.3</v>
      </c>
      <c r="P15" s="13">
        <f t="shared" si="17"/>
        <v>28052.3</v>
      </c>
      <c r="Q15" s="383">
        <f t="shared" si="30"/>
        <v>3855</v>
      </c>
      <c r="R15" s="383">
        <f t="shared" si="18"/>
        <v>108141617</v>
      </c>
      <c r="S15" s="383">
        <f>'Table 6 (Local Deduct Calc.)'!J16</f>
        <v>36129477</v>
      </c>
      <c r="T15" s="383">
        <f t="shared" si="31"/>
        <v>36129477</v>
      </c>
      <c r="U15" s="384">
        <f t="shared" si="32"/>
        <v>72012140</v>
      </c>
      <c r="V15" s="385">
        <f t="shared" si="52"/>
        <v>0.66590000000000005</v>
      </c>
      <c r="W15" s="385">
        <f t="shared" si="33"/>
        <v>0.33410000000000001</v>
      </c>
      <c r="X15" s="386">
        <f t="shared" si="19"/>
        <v>1705.0248702218028</v>
      </c>
      <c r="Y15" s="383">
        <f>'Table 7 Local Revenue'!AQ15</f>
        <v>90863515</v>
      </c>
      <c r="Z15" s="383">
        <f t="shared" si="34"/>
        <v>54734038</v>
      </c>
      <c r="AA15" s="280">
        <f t="shared" si="35"/>
        <v>0</v>
      </c>
      <c r="AB15" s="14">
        <f t="shared" si="36"/>
        <v>36768149.780000001</v>
      </c>
      <c r="AC15" s="14">
        <f t="shared" si="37"/>
        <v>36768149.780000001</v>
      </c>
      <c r="AD15" s="383">
        <f t="shared" si="38"/>
        <v>21128890.807376564</v>
      </c>
      <c r="AE15" s="387">
        <f t="shared" si="39"/>
        <v>15639258.972623438</v>
      </c>
      <c r="AF15" s="16">
        <f t="shared" si="40"/>
        <v>0.42530000000000001</v>
      </c>
      <c r="AG15" s="387">
        <f t="shared" si="41"/>
        <v>87651398.972623438</v>
      </c>
      <c r="AH15" s="14">
        <f t="shared" si="20"/>
        <v>4136</v>
      </c>
      <c r="AI15" s="387">
        <f>'Table 4 Level 3'!O13</f>
        <v>3243262</v>
      </c>
      <c r="AJ15" s="14">
        <f t="shared" si="21"/>
        <v>153.05625294950448</v>
      </c>
      <c r="AK15" s="387">
        <f t="shared" si="42"/>
        <v>90894660.972623438</v>
      </c>
      <c r="AL15" s="14">
        <f t="shared" si="22"/>
        <v>4289.5073606712331</v>
      </c>
      <c r="AM15" s="505">
        <f>'Table 4 Level 3'!R13</f>
        <v>18622116.399999999</v>
      </c>
      <c r="AN15" s="506">
        <f t="shared" si="23"/>
        <v>878.81625294950436</v>
      </c>
      <c r="AO15" s="387">
        <f t="shared" si="43"/>
        <v>106273515.37262344</v>
      </c>
      <c r="AP15" s="14">
        <f t="shared" si="24"/>
        <v>5015.2673606712342</v>
      </c>
      <c r="AQ15" s="16">
        <f t="shared" si="44"/>
        <v>0.59313968809830109</v>
      </c>
      <c r="AR15" s="388">
        <f t="shared" si="45"/>
        <v>44</v>
      </c>
      <c r="AS15" s="14">
        <f t="shared" si="46"/>
        <v>72897626.780000001</v>
      </c>
      <c r="AT15" s="14">
        <f t="shared" si="25"/>
        <v>3440.19</v>
      </c>
      <c r="AU15" s="388">
        <f t="shared" si="47"/>
        <v>30</v>
      </c>
      <c r="AV15" s="16">
        <f t="shared" si="48"/>
        <v>0.40686031190169886</v>
      </c>
      <c r="AW15" s="388">
        <f t="shared" si="49"/>
        <v>179171142.15262344</v>
      </c>
      <c r="AX15" s="389">
        <f t="shared" si="26"/>
        <v>8455.4573927618421</v>
      </c>
      <c r="AY15" s="388">
        <f t="shared" si="50"/>
        <v>51</v>
      </c>
      <c r="AZ15" s="1212">
        <v>98935116.1643444</v>
      </c>
      <c r="BA15" s="280">
        <f t="shared" si="51"/>
        <v>7338399.2082790434</v>
      </c>
      <c r="BB15" s="1873"/>
      <c r="BC15" s="347"/>
      <c r="BD15" s="347"/>
      <c r="BE15" s="347"/>
      <c r="BF15" s="347"/>
      <c r="BG15" s="347"/>
      <c r="BH15" s="347"/>
      <c r="BI15" s="347"/>
      <c r="BJ15" s="347"/>
      <c r="BK15" s="347"/>
      <c r="BL15" s="168"/>
      <c r="BM15" s="168"/>
      <c r="BN15" s="1899"/>
      <c r="BO15" s="168"/>
      <c r="BP15" s="168"/>
      <c r="BQ15" s="1881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</row>
    <row r="16" spans="1:149" s="5" customFormat="1">
      <c r="A16" s="101">
        <v>9</v>
      </c>
      <c r="B16" s="81" t="s">
        <v>101</v>
      </c>
      <c r="C16" s="593">
        <f>'2-1-13 SIS'!S15</f>
        <v>40876</v>
      </c>
      <c r="D16" s="593">
        <f>'[3]2-1-13-Supreme Court Ruling'!AE14</f>
        <v>27222</v>
      </c>
      <c r="E16" s="593">
        <f t="shared" si="12"/>
        <v>5989</v>
      </c>
      <c r="F16" s="593">
        <f>'[4]CTE-Oct 2012-Supreme Court'!AC15</f>
        <v>11432.5</v>
      </c>
      <c r="G16" s="593">
        <f t="shared" si="13"/>
        <v>686</v>
      </c>
      <c r="H16" s="1288">
        <f>'[5]SWD 2-1-13 Supreme Court'!Z14</f>
        <v>4040</v>
      </c>
      <c r="I16" s="1288">
        <f t="shared" si="27"/>
        <v>6060</v>
      </c>
      <c r="J16" s="1288">
        <f>'[6]GT_PS-12th Supreme Court'!T13</f>
        <v>1727</v>
      </c>
      <c r="K16" s="1288">
        <f t="shared" si="28"/>
        <v>1036.2</v>
      </c>
      <c r="L16" s="13">
        <f t="shared" si="14"/>
        <v>0</v>
      </c>
      <c r="M16" s="65">
        <f t="shared" si="15"/>
        <v>0</v>
      </c>
      <c r="N16" s="13">
        <f t="shared" si="16"/>
        <v>0</v>
      </c>
      <c r="O16" s="13">
        <f t="shared" si="29"/>
        <v>13771.2</v>
      </c>
      <c r="P16" s="13">
        <f t="shared" si="17"/>
        <v>54647.199999999997</v>
      </c>
      <c r="Q16" s="383">
        <f t="shared" si="30"/>
        <v>3855</v>
      </c>
      <c r="R16" s="383">
        <f t="shared" si="18"/>
        <v>210664956</v>
      </c>
      <c r="S16" s="383">
        <f>'Table 6 (Local Deduct Calc.)'!J17</f>
        <v>68774093</v>
      </c>
      <c r="T16" s="383">
        <f t="shared" si="31"/>
        <v>68774093</v>
      </c>
      <c r="U16" s="384">
        <f t="shared" si="32"/>
        <v>141890863</v>
      </c>
      <c r="V16" s="385">
        <f t="shared" si="52"/>
        <v>0.67349999999999999</v>
      </c>
      <c r="W16" s="385">
        <f t="shared" si="33"/>
        <v>0.32650000000000001</v>
      </c>
      <c r="X16" s="386">
        <f t="shared" si="19"/>
        <v>1682.5054555240238</v>
      </c>
      <c r="Y16" s="383">
        <f>'Table 7 Local Revenue'!AQ16</f>
        <v>195657015</v>
      </c>
      <c r="Z16" s="383">
        <f t="shared" si="34"/>
        <v>126882922</v>
      </c>
      <c r="AA16" s="280">
        <f t="shared" si="35"/>
        <v>0</v>
      </c>
      <c r="AB16" s="14">
        <f t="shared" si="36"/>
        <v>71626085.040000007</v>
      </c>
      <c r="AC16" s="14">
        <f t="shared" si="37"/>
        <v>71626085.040000007</v>
      </c>
      <c r="AD16" s="383">
        <f t="shared" si="38"/>
        <v>40223776.836763203</v>
      </c>
      <c r="AE16" s="387">
        <f t="shared" si="39"/>
        <v>31402308.203236803</v>
      </c>
      <c r="AF16" s="16">
        <f t="shared" si="40"/>
        <v>0.43840000000000001</v>
      </c>
      <c r="AG16" s="387">
        <f t="shared" si="41"/>
        <v>173293171.20323682</v>
      </c>
      <c r="AH16" s="14">
        <f t="shared" si="20"/>
        <v>4239</v>
      </c>
      <c r="AI16" s="387">
        <f>'Table 4 Level 3'!O14</f>
        <v>6382006</v>
      </c>
      <c r="AJ16" s="14">
        <f t="shared" si="21"/>
        <v>156.13088364810648</v>
      </c>
      <c r="AK16" s="387">
        <f t="shared" si="42"/>
        <v>179675177.20323682</v>
      </c>
      <c r="AL16" s="14">
        <f t="shared" si="22"/>
        <v>4395.6154516889328</v>
      </c>
      <c r="AM16" s="505">
        <f>'Table 4 Level 3'!R14</f>
        <v>36824815.759999998</v>
      </c>
      <c r="AN16" s="506">
        <f t="shared" si="23"/>
        <v>900.89088364810641</v>
      </c>
      <c r="AO16" s="387">
        <f t="shared" si="43"/>
        <v>210117986.96323681</v>
      </c>
      <c r="AP16" s="14">
        <f t="shared" si="24"/>
        <v>5140.375451688933</v>
      </c>
      <c r="AQ16" s="16">
        <f t="shared" si="44"/>
        <v>0.59944963754245528</v>
      </c>
      <c r="AR16" s="388">
        <f t="shared" si="45"/>
        <v>43</v>
      </c>
      <c r="AS16" s="14">
        <f t="shared" si="46"/>
        <v>140400178.03999999</v>
      </c>
      <c r="AT16" s="14">
        <f t="shared" si="25"/>
        <v>3434.78</v>
      </c>
      <c r="AU16" s="388">
        <f t="shared" si="47"/>
        <v>31</v>
      </c>
      <c r="AV16" s="16">
        <f t="shared" si="48"/>
        <v>0.40055036245754483</v>
      </c>
      <c r="AW16" s="388">
        <f t="shared" si="49"/>
        <v>350518165.00323677</v>
      </c>
      <c r="AX16" s="389">
        <f t="shared" si="26"/>
        <v>8575.1581613474118</v>
      </c>
      <c r="AY16" s="388">
        <f t="shared" si="50"/>
        <v>46</v>
      </c>
      <c r="AZ16" s="1212">
        <v>207752402.7456744</v>
      </c>
      <c r="BA16" s="280">
        <f t="shared" si="51"/>
        <v>2365584.2175624073</v>
      </c>
      <c r="BB16" s="1873"/>
      <c r="BC16" s="347"/>
      <c r="BD16" s="347"/>
      <c r="BE16" s="347"/>
      <c r="BF16" s="347"/>
      <c r="BG16" s="347"/>
      <c r="BH16" s="347"/>
      <c r="BI16" s="347"/>
      <c r="BJ16" s="347"/>
      <c r="BK16" s="347"/>
      <c r="BL16" s="1900"/>
      <c r="BM16" s="1900"/>
      <c r="BN16" s="1901"/>
      <c r="BO16" s="1900"/>
      <c r="BP16" s="1900"/>
      <c r="BQ16" s="1883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</row>
    <row r="17" spans="1:149" s="21" customFormat="1">
      <c r="A17" s="102">
        <v>10</v>
      </c>
      <c r="B17" s="82" t="s">
        <v>102</v>
      </c>
      <c r="C17" s="774">
        <f>'2-1-13 SIS'!S16</f>
        <v>32046</v>
      </c>
      <c r="D17" s="774">
        <f>'[3]2-1-13-Supreme Court Ruling'!AE15</f>
        <v>18965</v>
      </c>
      <c r="E17" s="774">
        <f t="shared" si="12"/>
        <v>4172</v>
      </c>
      <c r="F17" s="774">
        <f>'[4]CTE-Oct 2012-Supreme Court'!AC16</f>
        <v>8022.5</v>
      </c>
      <c r="G17" s="774">
        <f t="shared" si="13"/>
        <v>481</v>
      </c>
      <c r="H17" s="774">
        <f>'[5]SWD 2-1-13 Supreme Court'!Z15</f>
        <v>4952</v>
      </c>
      <c r="I17" s="774">
        <f t="shared" si="27"/>
        <v>7428</v>
      </c>
      <c r="J17" s="774">
        <f>'[6]GT_PS-12th Supreme Court'!T14</f>
        <v>1285</v>
      </c>
      <c r="K17" s="774">
        <f t="shared" si="28"/>
        <v>771</v>
      </c>
      <c r="L17" s="19">
        <f t="shared" si="14"/>
        <v>0</v>
      </c>
      <c r="M17" s="66">
        <f t="shared" si="15"/>
        <v>0</v>
      </c>
      <c r="N17" s="19">
        <f t="shared" si="16"/>
        <v>0</v>
      </c>
      <c r="O17" s="19">
        <f t="shared" si="29"/>
        <v>12852</v>
      </c>
      <c r="P17" s="13">
        <f t="shared" si="17"/>
        <v>44898</v>
      </c>
      <c r="Q17" s="390">
        <f t="shared" si="30"/>
        <v>3855</v>
      </c>
      <c r="R17" s="390">
        <f t="shared" si="18"/>
        <v>173081790</v>
      </c>
      <c r="S17" s="390">
        <f>'Table 6 (Local Deduct Calc.)'!J18</f>
        <v>63684463</v>
      </c>
      <c r="T17" s="390">
        <f t="shared" si="31"/>
        <v>63684463</v>
      </c>
      <c r="U17" s="391">
        <f t="shared" si="32"/>
        <v>109397327</v>
      </c>
      <c r="V17" s="392">
        <f t="shared" si="52"/>
        <v>0.6321</v>
      </c>
      <c r="W17" s="393">
        <f t="shared" si="33"/>
        <v>0.3679</v>
      </c>
      <c r="X17" s="394">
        <f t="shared" si="19"/>
        <v>1987.2827497971666</v>
      </c>
      <c r="Y17" s="390">
        <f>'Table 7 Local Revenue'!AQ17</f>
        <v>142522641</v>
      </c>
      <c r="Z17" s="757">
        <f>IF(Y17-T17&gt;0,Y17-T17,0)</f>
        <v>78838178</v>
      </c>
      <c r="AA17" s="281">
        <f t="shared" si="35"/>
        <v>0</v>
      </c>
      <c r="AB17" s="20">
        <f t="shared" si="36"/>
        <v>58847808.600000001</v>
      </c>
      <c r="AC17" s="20">
        <f t="shared" si="37"/>
        <v>58847808.600000001</v>
      </c>
      <c r="AD17" s="390">
        <f t="shared" si="38"/>
        <v>37238187.108376801</v>
      </c>
      <c r="AE17" s="395">
        <f t="shared" si="39"/>
        <v>21609621.4916232</v>
      </c>
      <c r="AF17" s="274">
        <f t="shared" si="40"/>
        <v>0.36720000000000003</v>
      </c>
      <c r="AG17" s="395">
        <f t="shared" si="41"/>
        <v>131006948.49162319</v>
      </c>
      <c r="AH17" s="20">
        <f t="shared" si="20"/>
        <v>4088</v>
      </c>
      <c r="AI17" s="395">
        <f>'Table 4 Level 3'!O15</f>
        <v>5303855</v>
      </c>
      <c r="AJ17" s="20">
        <f t="shared" si="21"/>
        <v>165.50755164451101</v>
      </c>
      <c r="AK17" s="395">
        <f t="shared" si="42"/>
        <v>136310803.49162319</v>
      </c>
      <c r="AL17" s="20">
        <f t="shared" si="22"/>
        <v>4253.5980618992444</v>
      </c>
      <c r="AM17" s="507">
        <f>'Table 4 Level 3'!R15</f>
        <v>24789104.840000004</v>
      </c>
      <c r="AN17" s="508">
        <f t="shared" si="23"/>
        <v>773.54755164451115</v>
      </c>
      <c r="AO17" s="395">
        <f t="shared" si="43"/>
        <v>155796053.3316232</v>
      </c>
      <c r="AP17" s="20">
        <f t="shared" si="24"/>
        <v>4861.6380618992443</v>
      </c>
      <c r="AQ17" s="274">
        <f t="shared" si="44"/>
        <v>0.5597563717954237</v>
      </c>
      <c r="AR17" s="396">
        <f t="shared" si="45"/>
        <v>51</v>
      </c>
      <c r="AS17" s="20">
        <f t="shared" si="46"/>
        <v>122532271.59999999</v>
      </c>
      <c r="AT17" s="20">
        <f t="shared" si="25"/>
        <v>3823.64</v>
      </c>
      <c r="AU17" s="396">
        <f t="shared" si="47"/>
        <v>22</v>
      </c>
      <c r="AV17" s="274">
        <f t="shared" si="48"/>
        <v>0.44024362820457613</v>
      </c>
      <c r="AW17" s="396">
        <f t="shared" si="49"/>
        <v>278328324.93162322</v>
      </c>
      <c r="AX17" s="397">
        <f t="shared" si="26"/>
        <v>8685.2750711983772</v>
      </c>
      <c r="AY17" s="396">
        <f t="shared" si="50"/>
        <v>40</v>
      </c>
      <c r="AZ17" s="1213">
        <v>155645604.21761</v>
      </c>
      <c r="BA17" s="281">
        <f t="shared" si="51"/>
        <v>150449.11401319504</v>
      </c>
      <c r="BB17" s="1874"/>
      <c r="BC17" s="347"/>
      <c r="BD17" s="347"/>
      <c r="BE17" s="347"/>
      <c r="BF17" s="347"/>
      <c r="BG17" s="347"/>
      <c r="BH17" s="347"/>
      <c r="BI17" s="347"/>
      <c r="BJ17" s="347"/>
      <c r="BK17" s="347"/>
      <c r="BL17" s="168"/>
      <c r="BM17" s="168"/>
      <c r="BN17" s="1899"/>
      <c r="BO17" s="168"/>
      <c r="BP17" s="168"/>
      <c r="BQ17" s="1882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</row>
    <row r="18" spans="1:149" s="5" customFormat="1">
      <c r="A18" s="101">
        <v>11</v>
      </c>
      <c r="B18" s="81" t="s">
        <v>103</v>
      </c>
      <c r="C18" s="593">
        <f>'2-1-13 SIS'!S17</f>
        <v>1552</v>
      </c>
      <c r="D18" s="593">
        <f>'[3]2-1-13-Supreme Court Ruling'!AE16</f>
        <v>1038</v>
      </c>
      <c r="E18" s="593">
        <f t="shared" si="12"/>
        <v>228</v>
      </c>
      <c r="F18" s="593">
        <f>'[4]CTE-Oct 2012-Supreme Court'!AC17</f>
        <v>623.5</v>
      </c>
      <c r="G18" s="593">
        <f t="shared" si="13"/>
        <v>37</v>
      </c>
      <c r="H18" s="1288">
        <f>'[5]SWD 2-1-13 Supreme Court'!Z16</f>
        <v>303</v>
      </c>
      <c r="I18" s="1288">
        <f t="shared" si="27"/>
        <v>454.5</v>
      </c>
      <c r="J18" s="1288">
        <f>'[6]GT_PS-12th Supreme Court'!T15</f>
        <v>27</v>
      </c>
      <c r="K18" s="1288">
        <f t="shared" si="28"/>
        <v>16.2</v>
      </c>
      <c r="L18" s="13">
        <f t="shared" si="14"/>
        <v>5948</v>
      </c>
      <c r="M18" s="65">
        <f t="shared" si="15"/>
        <v>0.15861</v>
      </c>
      <c r="N18" s="13">
        <f t="shared" si="16"/>
        <v>246</v>
      </c>
      <c r="O18" s="13">
        <f t="shared" si="29"/>
        <v>981.7</v>
      </c>
      <c r="P18" s="36">
        <f t="shared" si="17"/>
        <v>2533.6999999999998</v>
      </c>
      <c r="Q18" s="383">
        <f t="shared" si="30"/>
        <v>3855</v>
      </c>
      <c r="R18" s="383">
        <f t="shared" si="18"/>
        <v>9767414</v>
      </c>
      <c r="S18" s="383">
        <f>'Table 6 (Local Deduct Calc.)'!J19</f>
        <v>1693838.5</v>
      </c>
      <c r="T18" s="383">
        <f t="shared" si="31"/>
        <v>1693838.5</v>
      </c>
      <c r="U18" s="384">
        <f t="shared" si="32"/>
        <v>8073575.5</v>
      </c>
      <c r="V18" s="385">
        <f t="shared" si="52"/>
        <v>0.8266</v>
      </c>
      <c r="W18" s="385">
        <f t="shared" si="33"/>
        <v>0.1734</v>
      </c>
      <c r="X18" s="386">
        <f t="shared" si="19"/>
        <v>1091.3907860824743</v>
      </c>
      <c r="Y18" s="383">
        <f>'Table 7 Local Revenue'!AQ18</f>
        <v>5529175.5</v>
      </c>
      <c r="Z18" s="383">
        <f t="shared" si="34"/>
        <v>3835337</v>
      </c>
      <c r="AA18" s="280">
        <f t="shared" si="35"/>
        <v>0</v>
      </c>
      <c r="AB18" s="14">
        <f t="shared" si="36"/>
        <v>3320920.7600000002</v>
      </c>
      <c r="AC18" s="14">
        <f t="shared" si="37"/>
        <v>3320920.7600000002</v>
      </c>
      <c r="AD18" s="383">
        <f t="shared" si="38"/>
        <v>990457.97482848016</v>
      </c>
      <c r="AE18" s="387">
        <f t="shared" si="39"/>
        <v>2330462.78517152</v>
      </c>
      <c r="AF18" s="16">
        <f t="shared" si="40"/>
        <v>0.70179999999999998</v>
      </c>
      <c r="AG18" s="387">
        <f t="shared" si="41"/>
        <v>10404038.28517152</v>
      </c>
      <c r="AH18" s="14">
        <f t="shared" si="20"/>
        <v>6704</v>
      </c>
      <c r="AI18" s="387">
        <f>'Table 4 Level 3'!O16</f>
        <v>231684</v>
      </c>
      <c r="AJ18" s="14">
        <f t="shared" si="21"/>
        <v>149.28092783505156</v>
      </c>
      <c r="AK18" s="387">
        <f t="shared" si="42"/>
        <v>10635722.28517152</v>
      </c>
      <c r="AL18" s="14">
        <f t="shared" si="22"/>
        <v>6852.9138435383502</v>
      </c>
      <c r="AM18" s="505">
        <f>'Table 4 Level 3'!R16</f>
        <v>1328249.5999999999</v>
      </c>
      <c r="AN18" s="506">
        <f t="shared" si="23"/>
        <v>855.83092783505151</v>
      </c>
      <c r="AO18" s="387">
        <f t="shared" si="43"/>
        <v>11732287.88517152</v>
      </c>
      <c r="AP18" s="14">
        <f t="shared" si="24"/>
        <v>7559.4638435383504</v>
      </c>
      <c r="AQ18" s="16">
        <f t="shared" si="44"/>
        <v>0.70055859898586081</v>
      </c>
      <c r="AR18" s="388">
        <f t="shared" si="45"/>
        <v>16</v>
      </c>
      <c r="AS18" s="14">
        <f t="shared" si="46"/>
        <v>5014759.26</v>
      </c>
      <c r="AT18" s="14">
        <f t="shared" si="25"/>
        <v>3231.16</v>
      </c>
      <c r="AU18" s="388">
        <f t="shared" si="47"/>
        <v>35</v>
      </c>
      <c r="AV18" s="16">
        <f t="shared" si="48"/>
        <v>0.29944140101413919</v>
      </c>
      <c r="AW18" s="388">
        <f t="shared" si="49"/>
        <v>16747047.145171519</v>
      </c>
      <c r="AX18" s="389">
        <f t="shared" si="26"/>
        <v>10790.623160548659</v>
      </c>
      <c r="AY18" s="388">
        <f t="shared" si="50"/>
        <v>1</v>
      </c>
      <c r="AZ18" s="1212">
        <v>11743394.40289057</v>
      </c>
      <c r="BA18" s="280">
        <f t="shared" si="51"/>
        <v>-11106.517719050869</v>
      </c>
      <c r="BB18" s="1873"/>
      <c r="BC18" s="347"/>
      <c r="BD18" s="347"/>
      <c r="BE18" s="347"/>
      <c r="BF18" s="347"/>
      <c r="BG18" s="347"/>
      <c r="BH18" s="347"/>
      <c r="BI18" s="347"/>
      <c r="BJ18" s="347"/>
      <c r="BK18" s="347"/>
      <c r="BL18" s="168"/>
      <c r="BM18" s="168"/>
      <c r="BN18" s="1899"/>
      <c r="BO18" s="168"/>
      <c r="BP18" s="168"/>
      <c r="BQ18" s="1881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</row>
    <row r="19" spans="1:149" s="5" customFormat="1">
      <c r="A19" s="101">
        <v>12</v>
      </c>
      <c r="B19" s="81" t="s">
        <v>104</v>
      </c>
      <c r="C19" s="593">
        <f>'2-1-13 SIS'!S18</f>
        <v>1213</v>
      </c>
      <c r="D19" s="593">
        <f>'[3]2-1-13-Supreme Court Ruling'!AE17</f>
        <v>559</v>
      </c>
      <c r="E19" s="593">
        <f t="shared" si="12"/>
        <v>123</v>
      </c>
      <c r="F19" s="593">
        <f>'[4]CTE-Oct 2012-Supreme Court'!AC18</f>
        <v>513</v>
      </c>
      <c r="G19" s="593">
        <f t="shared" si="13"/>
        <v>31</v>
      </c>
      <c r="H19" s="1288">
        <f>'[5]SWD 2-1-13 Supreme Court'!Z17</f>
        <v>148</v>
      </c>
      <c r="I19" s="1288">
        <f t="shared" si="27"/>
        <v>222</v>
      </c>
      <c r="J19" s="1288">
        <f>'[6]GT_PS-12th Supreme Court'!T16</f>
        <v>91</v>
      </c>
      <c r="K19" s="1288">
        <f t="shared" si="28"/>
        <v>54.6</v>
      </c>
      <c r="L19" s="13">
        <f t="shared" si="14"/>
        <v>6287</v>
      </c>
      <c r="M19" s="65">
        <f t="shared" si="15"/>
        <v>0.16764999999999999</v>
      </c>
      <c r="N19" s="13">
        <f t="shared" si="16"/>
        <v>203</v>
      </c>
      <c r="O19" s="13">
        <f t="shared" si="29"/>
        <v>633.6</v>
      </c>
      <c r="P19" s="13">
        <f t="shared" si="17"/>
        <v>1846.6</v>
      </c>
      <c r="Q19" s="383">
        <f t="shared" si="30"/>
        <v>3855</v>
      </c>
      <c r="R19" s="383">
        <f t="shared" si="18"/>
        <v>7118643</v>
      </c>
      <c r="S19" s="383">
        <f>'Table 6 (Local Deduct Calc.)'!J20</f>
        <v>5236493.5</v>
      </c>
      <c r="T19" s="383">
        <f t="shared" si="31"/>
        <v>5236493.5</v>
      </c>
      <c r="U19" s="384">
        <f t="shared" si="32"/>
        <v>1882149.5</v>
      </c>
      <c r="V19" s="385">
        <f t="shared" si="52"/>
        <v>0.26440000000000002</v>
      </c>
      <c r="W19" s="385">
        <f t="shared" si="33"/>
        <v>0.73560000000000003</v>
      </c>
      <c r="X19" s="386">
        <f t="shared" si="19"/>
        <v>4316.9773289365212</v>
      </c>
      <c r="Y19" s="383">
        <f>'Table 7 Local Revenue'!AQ19</f>
        <v>14809096.5</v>
      </c>
      <c r="Z19" s="383">
        <f t="shared" si="34"/>
        <v>9572603</v>
      </c>
      <c r="AA19" s="280">
        <f t="shared" si="35"/>
        <v>0</v>
      </c>
      <c r="AB19" s="14">
        <f t="shared" si="36"/>
        <v>2420338.62</v>
      </c>
      <c r="AC19" s="14">
        <f t="shared" si="37"/>
        <v>2420338.62</v>
      </c>
      <c r="AD19" s="383">
        <f t="shared" si="38"/>
        <v>3062289.8728598403</v>
      </c>
      <c r="AE19" s="387">
        <f t="shared" si="39"/>
        <v>0</v>
      </c>
      <c r="AF19" s="16">
        <f t="shared" si="40"/>
        <v>0</v>
      </c>
      <c r="AG19" s="387">
        <f t="shared" si="41"/>
        <v>1882149.5</v>
      </c>
      <c r="AH19" s="14">
        <f t="shared" si="20"/>
        <v>1552</v>
      </c>
      <c r="AI19" s="387">
        <f>'Table 4 Level 3'!O17</f>
        <v>221078</v>
      </c>
      <c r="AJ19" s="14">
        <f t="shared" si="21"/>
        <v>182.25721352019787</v>
      </c>
      <c r="AK19" s="387">
        <f t="shared" si="42"/>
        <v>2103227.5</v>
      </c>
      <c r="AL19" s="14">
        <f t="shared" si="22"/>
        <v>1733.9056059356967</v>
      </c>
      <c r="AM19" s="505">
        <f>'Table 4 Level 3'!R17</f>
        <v>1510873.03</v>
      </c>
      <c r="AN19" s="506">
        <f t="shared" si="23"/>
        <v>1245.5672135201978</v>
      </c>
      <c r="AO19" s="387">
        <f t="shared" si="43"/>
        <v>3393022.5300000003</v>
      </c>
      <c r="AP19" s="14">
        <f t="shared" si="24"/>
        <v>2797.2156059356967</v>
      </c>
      <c r="AQ19" s="16">
        <f t="shared" si="44"/>
        <v>0.30706490152791288</v>
      </c>
      <c r="AR19" s="388">
        <f t="shared" si="45"/>
        <v>66</v>
      </c>
      <c r="AS19" s="14">
        <f t="shared" si="46"/>
        <v>7656832.1200000001</v>
      </c>
      <c r="AT19" s="14">
        <f t="shared" si="25"/>
        <v>6312.31</v>
      </c>
      <c r="AU19" s="388">
        <f t="shared" si="47"/>
        <v>2</v>
      </c>
      <c r="AV19" s="16">
        <f t="shared" si="48"/>
        <v>0.69293509847208712</v>
      </c>
      <c r="AW19" s="388">
        <f t="shared" si="49"/>
        <v>11049854.65</v>
      </c>
      <c r="AX19" s="389">
        <f t="shared" si="26"/>
        <v>9109.5256801319047</v>
      </c>
      <c r="AY19" s="388">
        <f t="shared" si="50"/>
        <v>21</v>
      </c>
      <c r="AZ19" s="1212">
        <v>3484419.588</v>
      </c>
      <c r="BA19" s="280">
        <f t="shared" si="51"/>
        <v>-91397.057999999728</v>
      </c>
      <c r="BB19" s="1873"/>
      <c r="BC19" s="347"/>
      <c r="BD19" s="347"/>
      <c r="BE19" s="347"/>
      <c r="BF19" s="347"/>
      <c r="BG19" s="347"/>
      <c r="BH19" s="347"/>
      <c r="BI19" s="347"/>
      <c r="BJ19" s="347"/>
      <c r="BK19" s="347"/>
      <c r="BL19" s="168"/>
      <c r="BM19" s="168"/>
      <c r="BN19" s="1899"/>
      <c r="BO19" s="168"/>
      <c r="BP19" s="168"/>
      <c r="BQ19" s="1881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</row>
    <row r="20" spans="1:149" s="5" customFormat="1">
      <c r="A20" s="101">
        <v>13</v>
      </c>
      <c r="B20" s="81" t="s">
        <v>105</v>
      </c>
      <c r="C20" s="593">
        <f>'2-1-13 SIS'!S19</f>
        <v>1516</v>
      </c>
      <c r="D20" s="593">
        <f>'[3]2-1-13-Supreme Court Ruling'!AE18</f>
        <v>1160</v>
      </c>
      <c r="E20" s="593">
        <f t="shared" si="12"/>
        <v>255</v>
      </c>
      <c r="F20" s="593">
        <f>'[4]CTE-Oct 2012-Supreme Court'!AC19</f>
        <v>729</v>
      </c>
      <c r="G20" s="593">
        <f t="shared" si="13"/>
        <v>44</v>
      </c>
      <c r="H20" s="1288">
        <f>'[5]SWD 2-1-13 Supreme Court'!Z18</f>
        <v>170</v>
      </c>
      <c r="I20" s="1288">
        <f t="shared" si="27"/>
        <v>255</v>
      </c>
      <c r="J20" s="1288">
        <f>'[6]GT_PS-12th Supreme Court'!T17</f>
        <v>30</v>
      </c>
      <c r="K20" s="1288">
        <f t="shared" si="28"/>
        <v>18</v>
      </c>
      <c r="L20" s="13">
        <f t="shared" si="14"/>
        <v>5984</v>
      </c>
      <c r="M20" s="65">
        <f t="shared" si="15"/>
        <v>0.15956999999999999</v>
      </c>
      <c r="N20" s="13">
        <f t="shared" si="16"/>
        <v>242</v>
      </c>
      <c r="O20" s="13">
        <f t="shared" si="29"/>
        <v>814</v>
      </c>
      <c r="P20" s="13">
        <f t="shared" si="17"/>
        <v>2330</v>
      </c>
      <c r="Q20" s="383">
        <f t="shared" si="30"/>
        <v>3855</v>
      </c>
      <c r="R20" s="383">
        <f t="shared" si="18"/>
        <v>8982150</v>
      </c>
      <c r="S20" s="383">
        <f>'Table 6 (Local Deduct Calc.)'!J21</f>
        <v>1449979.5</v>
      </c>
      <c r="T20" s="383">
        <f t="shared" si="31"/>
        <v>1449979.5</v>
      </c>
      <c r="U20" s="384">
        <f t="shared" si="32"/>
        <v>7532170.5</v>
      </c>
      <c r="V20" s="385">
        <f t="shared" si="52"/>
        <v>0.83860000000000001</v>
      </c>
      <c r="W20" s="385">
        <f t="shared" si="33"/>
        <v>0.16139999999999999</v>
      </c>
      <c r="X20" s="386">
        <f t="shared" si="19"/>
        <v>956.45085751978888</v>
      </c>
      <c r="Y20" s="383">
        <f>'Table 7 Local Revenue'!AQ20</f>
        <v>3834794.5</v>
      </c>
      <c r="Z20" s="383">
        <f t="shared" si="34"/>
        <v>2384815</v>
      </c>
      <c r="AA20" s="280">
        <f t="shared" si="35"/>
        <v>0</v>
      </c>
      <c r="AB20" s="14">
        <f t="shared" si="36"/>
        <v>3053931</v>
      </c>
      <c r="AC20" s="14">
        <f t="shared" si="37"/>
        <v>2384815</v>
      </c>
      <c r="AD20" s="383">
        <f t="shared" si="38"/>
        <v>662043.72251999995</v>
      </c>
      <c r="AE20" s="387">
        <f t="shared" si="39"/>
        <v>1722771.2774800002</v>
      </c>
      <c r="AF20" s="16">
        <f t="shared" si="40"/>
        <v>0.72240000000000004</v>
      </c>
      <c r="AG20" s="387">
        <f t="shared" si="41"/>
        <v>9254941.7774800006</v>
      </c>
      <c r="AH20" s="14">
        <f t="shared" si="20"/>
        <v>6105</v>
      </c>
      <c r="AI20" s="387">
        <f>'Table 4 Level 3'!O18</f>
        <v>226310</v>
      </c>
      <c r="AJ20" s="14">
        <f t="shared" si="21"/>
        <v>149.28100263852244</v>
      </c>
      <c r="AK20" s="387">
        <f t="shared" si="42"/>
        <v>9481251.7774800006</v>
      </c>
      <c r="AL20" s="14">
        <f t="shared" si="22"/>
        <v>6254.1238637730876</v>
      </c>
      <c r="AM20" s="505">
        <f>'Table 4 Level 3'!R18</f>
        <v>1362445.8800000001</v>
      </c>
      <c r="AN20" s="506">
        <f t="shared" si="23"/>
        <v>898.71100263852247</v>
      </c>
      <c r="AO20" s="387">
        <f t="shared" si="43"/>
        <v>10617387.657480001</v>
      </c>
      <c r="AP20" s="14">
        <f t="shared" si="24"/>
        <v>7003.5538637730879</v>
      </c>
      <c r="AQ20" s="16">
        <f t="shared" si="44"/>
        <v>0.73465636827617553</v>
      </c>
      <c r="AR20" s="388">
        <f t="shared" si="45"/>
        <v>11</v>
      </c>
      <c r="AS20" s="14">
        <f t="shared" si="46"/>
        <v>3834794.5</v>
      </c>
      <c r="AT20" s="14">
        <f t="shared" si="25"/>
        <v>2529.5500000000002</v>
      </c>
      <c r="AU20" s="388">
        <f t="shared" si="47"/>
        <v>56</v>
      </c>
      <c r="AV20" s="16">
        <f t="shared" si="48"/>
        <v>0.26534363172382441</v>
      </c>
      <c r="AW20" s="388">
        <f t="shared" si="49"/>
        <v>14452182.157480001</v>
      </c>
      <c r="AX20" s="389">
        <f t="shared" si="26"/>
        <v>9533.1016869920859</v>
      </c>
      <c r="AY20" s="388">
        <f t="shared" si="50"/>
        <v>9</v>
      </c>
      <c r="AZ20" s="1212">
        <v>10442244.713172</v>
      </c>
      <c r="BA20" s="280">
        <f t="shared" si="51"/>
        <v>175142.94430800155</v>
      </c>
      <c r="BB20" s="1872"/>
      <c r="BC20" s="347"/>
      <c r="BD20" s="347"/>
      <c r="BE20" s="347"/>
      <c r="BF20" s="347"/>
      <c r="BG20" s="347"/>
      <c r="BH20" s="347"/>
      <c r="BI20" s="347"/>
      <c r="BJ20" s="347"/>
      <c r="BK20" s="347"/>
      <c r="BL20" s="168"/>
      <c r="BM20" s="168"/>
      <c r="BN20" s="1899"/>
      <c r="BO20" s="168"/>
      <c r="BP20" s="168"/>
      <c r="BQ20" s="1881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</row>
    <row r="21" spans="1:149" s="5" customFormat="1">
      <c r="A21" s="101">
        <v>14</v>
      </c>
      <c r="B21" s="81" t="s">
        <v>106</v>
      </c>
      <c r="C21" s="593">
        <f>'2-1-13 SIS'!S20</f>
        <v>1870</v>
      </c>
      <c r="D21" s="593">
        <f>'[3]2-1-13-Supreme Court Ruling'!AE19</f>
        <v>1492</v>
      </c>
      <c r="E21" s="593">
        <f t="shared" si="12"/>
        <v>328</v>
      </c>
      <c r="F21" s="593">
        <f>'[4]CTE-Oct 2012-Supreme Court'!AC20</f>
        <v>518</v>
      </c>
      <c r="G21" s="593">
        <f t="shared" si="13"/>
        <v>31</v>
      </c>
      <c r="H21" s="1288">
        <f>'[5]SWD 2-1-13 Supreme Court'!Z19</f>
        <v>347</v>
      </c>
      <c r="I21" s="1288">
        <f t="shared" si="27"/>
        <v>520.5</v>
      </c>
      <c r="J21" s="1288">
        <f>'[6]GT_PS-12th Supreme Court'!T18</f>
        <v>104</v>
      </c>
      <c r="K21" s="1288">
        <f t="shared" si="28"/>
        <v>62.4</v>
      </c>
      <c r="L21" s="13">
        <f t="shared" si="14"/>
        <v>5630</v>
      </c>
      <c r="M21" s="65">
        <f t="shared" si="15"/>
        <v>0.15013000000000001</v>
      </c>
      <c r="N21" s="13">
        <f t="shared" si="16"/>
        <v>281</v>
      </c>
      <c r="O21" s="13">
        <f t="shared" si="29"/>
        <v>1222.9000000000001</v>
      </c>
      <c r="P21" s="13">
        <f t="shared" si="17"/>
        <v>3092.9</v>
      </c>
      <c r="Q21" s="383">
        <f t="shared" si="30"/>
        <v>3855</v>
      </c>
      <c r="R21" s="383">
        <f t="shared" si="18"/>
        <v>11923130</v>
      </c>
      <c r="S21" s="383">
        <f>'Table 6 (Local Deduct Calc.)'!J22</f>
        <v>3824486</v>
      </c>
      <c r="T21" s="383">
        <f t="shared" si="31"/>
        <v>3824486</v>
      </c>
      <c r="U21" s="384">
        <f t="shared" si="32"/>
        <v>8098644</v>
      </c>
      <c r="V21" s="385">
        <f t="shared" si="52"/>
        <v>0.67920000000000003</v>
      </c>
      <c r="W21" s="385">
        <f t="shared" si="33"/>
        <v>0.32079999999999997</v>
      </c>
      <c r="X21" s="386">
        <f t="shared" si="19"/>
        <v>2045.1796791443851</v>
      </c>
      <c r="Y21" s="383">
        <f>'Table 7 Local Revenue'!AQ21</f>
        <v>7570178</v>
      </c>
      <c r="Z21" s="383">
        <f t="shared" si="34"/>
        <v>3745692</v>
      </c>
      <c r="AA21" s="280">
        <f t="shared" si="35"/>
        <v>0</v>
      </c>
      <c r="AB21" s="14">
        <f t="shared" si="36"/>
        <v>4053864.2</v>
      </c>
      <c r="AC21" s="14">
        <f t="shared" si="37"/>
        <v>3745692</v>
      </c>
      <c r="AD21" s="383">
        <f t="shared" si="38"/>
        <v>2066782.9489919997</v>
      </c>
      <c r="AE21" s="387">
        <f t="shared" si="39"/>
        <v>1678909.0510080003</v>
      </c>
      <c r="AF21" s="16">
        <f t="shared" si="40"/>
        <v>0.44819999999999999</v>
      </c>
      <c r="AG21" s="387">
        <f t="shared" si="41"/>
        <v>9777553.051008001</v>
      </c>
      <c r="AH21" s="14">
        <f t="shared" si="20"/>
        <v>5229</v>
      </c>
      <c r="AI21" s="387">
        <f>'Table 4 Level 3'!O19</f>
        <v>279155</v>
      </c>
      <c r="AJ21" s="14">
        <f t="shared" si="21"/>
        <v>149.2807486631016</v>
      </c>
      <c r="AK21" s="387">
        <f t="shared" si="42"/>
        <v>10056708.051008001</v>
      </c>
      <c r="AL21" s="14">
        <f t="shared" si="22"/>
        <v>5377.9187438545459</v>
      </c>
      <c r="AM21" s="505">
        <f>'Table 4 Level 3'!R19</f>
        <v>1793817.5999999999</v>
      </c>
      <c r="AN21" s="506">
        <f t="shared" si="23"/>
        <v>959.26074866310148</v>
      </c>
      <c r="AO21" s="387">
        <f t="shared" si="43"/>
        <v>11571370.651008001</v>
      </c>
      <c r="AP21" s="14">
        <f t="shared" si="24"/>
        <v>6187.8987438545455</v>
      </c>
      <c r="AQ21" s="16">
        <f t="shared" si="44"/>
        <v>0.6045159073583446</v>
      </c>
      <c r="AR21" s="388">
        <f t="shared" si="45"/>
        <v>42</v>
      </c>
      <c r="AS21" s="14">
        <f t="shared" si="46"/>
        <v>7570178</v>
      </c>
      <c r="AT21" s="14">
        <f t="shared" si="25"/>
        <v>4048.22</v>
      </c>
      <c r="AU21" s="388">
        <f t="shared" si="47"/>
        <v>18</v>
      </c>
      <c r="AV21" s="16">
        <f t="shared" si="48"/>
        <v>0.39548409264165524</v>
      </c>
      <c r="AW21" s="388">
        <f t="shared" si="49"/>
        <v>19141548.651008002</v>
      </c>
      <c r="AX21" s="389">
        <f t="shared" si="26"/>
        <v>10236.122273266312</v>
      </c>
      <c r="AY21" s="388">
        <f t="shared" si="50"/>
        <v>4</v>
      </c>
      <c r="AZ21" s="1212">
        <v>11919638.323311999</v>
      </c>
      <c r="BA21" s="280">
        <f t="shared" si="51"/>
        <v>-348267.67230399884</v>
      </c>
      <c r="BB21" s="1872"/>
      <c r="BC21" s="347"/>
      <c r="BD21" s="347"/>
      <c r="BE21" s="347"/>
      <c r="BF21" s="347"/>
      <c r="BG21" s="347"/>
      <c r="BH21" s="347"/>
      <c r="BI21" s="347"/>
      <c r="BJ21" s="347"/>
      <c r="BK21" s="347"/>
      <c r="BL21" s="168"/>
      <c r="BM21" s="168"/>
      <c r="BN21" s="1899"/>
      <c r="BO21" s="168"/>
      <c r="BP21" s="168"/>
      <c r="BQ21" s="188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</row>
    <row r="22" spans="1:149" s="21" customFormat="1">
      <c r="A22" s="102">
        <v>15</v>
      </c>
      <c r="B22" s="82" t="s">
        <v>107</v>
      </c>
      <c r="C22" s="774">
        <f>'2-1-13 SIS'!S21</f>
        <v>3627</v>
      </c>
      <c r="D22" s="774">
        <f>'[3]2-1-13-Supreme Court Ruling'!AE20</f>
        <v>2783</v>
      </c>
      <c r="E22" s="774">
        <f t="shared" si="12"/>
        <v>612</v>
      </c>
      <c r="F22" s="774">
        <f>'[4]CTE-Oct 2012-Supreme Court'!AC21</f>
        <v>1246.5</v>
      </c>
      <c r="G22" s="774">
        <f t="shared" si="13"/>
        <v>75</v>
      </c>
      <c r="H22" s="774">
        <f>'[5]SWD 2-1-13 Supreme Court'!Z20</f>
        <v>356</v>
      </c>
      <c r="I22" s="774">
        <f t="shared" si="27"/>
        <v>534</v>
      </c>
      <c r="J22" s="774">
        <f>'[6]GT_PS-12th Supreme Court'!T19</f>
        <v>83</v>
      </c>
      <c r="K22" s="774">
        <f t="shared" si="28"/>
        <v>49.8</v>
      </c>
      <c r="L22" s="19">
        <f t="shared" si="14"/>
        <v>3873</v>
      </c>
      <c r="M22" s="66">
        <f t="shared" si="15"/>
        <v>0.10328</v>
      </c>
      <c r="N22" s="19">
        <f t="shared" si="16"/>
        <v>375</v>
      </c>
      <c r="O22" s="19">
        <f t="shared" si="29"/>
        <v>1645.8</v>
      </c>
      <c r="P22" s="13">
        <f t="shared" si="17"/>
        <v>5272.8</v>
      </c>
      <c r="Q22" s="390">
        <f t="shared" si="30"/>
        <v>3855</v>
      </c>
      <c r="R22" s="390">
        <f t="shared" si="18"/>
        <v>20326644</v>
      </c>
      <c r="S22" s="390">
        <f>'Table 6 (Local Deduct Calc.)'!J23</f>
        <v>4393616</v>
      </c>
      <c r="T22" s="390">
        <f t="shared" si="31"/>
        <v>4393616</v>
      </c>
      <c r="U22" s="391">
        <f t="shared" si="32"/>
        <v>15933028</v>
      </c>
      <c r="V22" s="392">
        <f t="shared" si="52"/>
        <v>0.78380000000000005</v>
      </c>
      <c r="W22" s="393">
        <f t="shared" si="33"/>
        <v>0.2162</v>
      </c>
      <c r="X22" s="394">
        <f t="shared" si="19"/>
        <v>1211.3636614281775</v>
      </c>
      <c r="Y22" s="390">
        <f>'Table 7 Local Revenue'!AQ22</f>
        <v>10198332</v>
      </c>
      <c r="Z22" s="390">
        <f t="shared" si="34"/>
        <v>5804716</v>
      </c>
      <c r="AA22" s="281">
        <f t="shared" si="35"/>
        <v>0</v>
      </c>
      <c r="AB22" s="20">
        <f t="shared" si="36"/>
        <v>6911058.9600000009</v>
      </c>
      <c r="AC22" s="20">
        <f t="shared" si="37"/>
        <v>5804716</v>
      </c>
      <c r="AD22" s="390">
        <f t="shared" si="38"/>
        <v>2158564.9106239998</v>
      </c>
      <c r="AE22" s="395">
        <f t="shared" si="39"/>
        <v>3646151.0893760002</v>
      </c>
      <c r="AF22" s="274">
        <f t="shared" si="40"/>
        <v>0.62809999999999999</v>
      </c>
      <c r="AG22" s="395">
        <f t="shared" si="41"/>
        <v>19579179.089375999</v>
      </c>
      <c r="AH22" s="20">
        <f t="shared" si="20"/>
        <v>5398</v>
      </c>
      <c r="AI22" s="395">
        <f>'Table 4 Level 3'!O20</f>
        <v>470025</v>
      </c>
      <c r="AJ22" s="20">
        <f t="shared" si="21"/>
        <v>129.59057071960297</v>
      </c>
      <c r="AK22" s="395">
        <f t="shared" si="42"/>
        <v>20049204.089375999</v>
      </c>
      <c r="AL22" s="20">
        <f t="shared" si="22"/>
        <v>5527.7651197617861</v>
      </c>
      <c r="AM22" s="507">
        <f>'Table 4 Level 3'!R20</f>
        <v>2478657.5999999996</v>
      </c>
      <c r="AN22" s="508">
        <f t="shared" si="23"/>
        <v>683.39057071960292</v>
      </c>
      <c r="AO22" s="395">
        <f t="shared" si="43"/>
        <v>22057836.689375997</v>
      </c>
      <c r="AP22" s="20">
        <f t="shared" si="24"/>
        <v>6081.5651197617854</v>
      </c>
      <c r="AQ22" s="274">
        <f t="shared" si="44"/>
        <v>0.68383312667387686</v>
      </c>
      <c r="AR22" s="396">
        <f t="shared" si="45"/>
        <v>22</v>
      </c>
      <c r="AS22" s="20">
        <f t="shared" si="46"/>
        <v>10198332</v>
      </c>
      <c r="AT22" s="20">
        <f t="shared" si="25"/>
        <v>2811.78</v>
      </c>
      <c r="AU22" s="396">
        <f t="shared" si="47"/>
        <v>52</v>
      </c>
      <c r="AV22" s="274">
        <f t="shared" si="48"/>
        <v>0.31616687332612314</v>
      </c>
      <c r="AW22" s="396">
        <f t="shared" si="49"/>
        <v>32256168.689375997</v>
      </c>
      <c r="AX22" s="397">
        <f t="shared" si="26"/>
        <v>8893.3467574789065</v>
      </c>
      <c r="AY22" s="396">
        <f t="shared" si="50"/>
        <v>31</v>
      </c>
      <c r="AZ22" s="1213">
        <v>21711191.832992002</v>
      </c>
      <c r="BA22" s="281">
        <f t="shared" si="51"/>
        <v>346644.85638399422</v>
      </c>
      <c r="BB22" s="1874"/>
      <c r="BC22" s="347"/>
      <c r="BD22" s="347"/>
      <c r="BE22" s="347"/>
      <c r="BF22" s="347"/>
      <c r="BG22" s="347"/>
      <c r="BH22" s="347"/>
      <c r="BI22" s="347"/>
      <c r="BJ22" s="347"/>
      <c r="BK22" s="347"/>
      <c r="BL22" s="168"/>
      <c r="BM22" s="168"/>
      <c r="BN22" s="1899"/>
      <c r="BO22" s="168"/>
      <c r="BP22" s="168"/>
      <c r="BQ22" s="188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</row>
    <row r="23" spans="1:149" s="5" customFormat="1">
      <c r="A23" s="101">
        <v>16</v>
      </c>
      <c r="B23" s="81" t="s">
        <v>108</v>
      </c>
      <c r="C23" s="593">
        <f>'2-1-13 SIS'!S22</f>
        <v>4954</v>
      </c>
      <c r="D23" s="593">
        <f>'[3]2-1-13-Supreme Court Ruling'!AE21</f>
        <v>3183</v>
      </c>
      <c r="E23" s="593">
        <f t="shared" si="12"/>
        <v>700</v>
      </c>
      <c r="F23" s="593">
        <f>'[4]CTE-Oct 2012-Supreme Court'!AC22</f>
        <v>1918</v>
      </c>
      <c r="G23" s="593">
        <f t="shared" si="13"/>
        <v>115</v>
      </c>
      <c r="H23" s="1288">
        <f>'[5]SWD 2-1-13 Supreme Court'!Z21</f>
        <v>565</v>
      </c>
      <c r="I23" s="1288">
        <f t="shared" si="27"/>
        <v>847.5</v>
      </c>
      <c r="J23" s="1288">
        <f>'[6]GT_PS-12th Supreme Court'!T20</f>
        <v>210</v>
      </c>
      <c r="K23" s="1288">
        <f t="shared" si="28"/>
        <v>126</v>
      </c>
      <c r="L23" s="13">
        <f t="shared" si="14"/>
        <v>2546</v>
      </c>
      <c r="M23" s="65">
        <f t="shared" si="15"/>
        <v>6.7890000000000006E-2</v>
      </c>
      <c r="N23" s="13">
        <f t="shared" si="16"/>
        <v>336</v>
      </c>
      <c r="O23" s="13">
        <f t="shared" si="29"/>
        <v>2124.5</v>
      </c>
      <c r="P23" s="36">
        <f t="shared" si="17"/>
        <v>7078.5</v>
      </c>
      <c r="Q23" s="383">
        <f t="shared" si="30"/>
        <v>3855</v>
      </c>
      <c r="R23" s="383">
        <f t="shared" si="18"/>
        <v>27287618</v>
      </c>
      <c r="S23" s="383">
        <f>'Table 6 (Local Deduct Calc.)'!J24</f>
        <v>24494716.5</v>
      </c>
      <c r="T23" s="383">
        <f t="shared" si="31"/>
        <v>20465713.5</v>
      </c>
      <c r="U23" s="384">
        <f t="shared" si="32"/>
        <v>6821904.5</v>
      </c>
      <c r="V23" s="385">
        <f t="shared" si="52"/>
        <v>0.25</v>
      </c>
      <c r="W23" s="385">
        <f t="shared" si="33"/>
        <v>0.75</v>
      </c>
      <c r="X23" s="386">
        <f t="shared" si="19"/>
        <v>4131.1492733144933</v>
      </c>
      <c r="Y23" s="383">
        <f>'Table 7 Local Revenue'!AQ23</f>
        <v>76151542.5</v>
      </c>
      <c r="Z23" s="383">
        <f t="shared" si="34"/>
        <v>55685829</v>
      </c>
      <c r="AA23" s="280">
        <f t="shared" si="35"/>
        <v>0</v>
      </c>
      <c r="AB23" s="14">
        <f t="shared" si="36"/>
        <v>9277790.120000001</v>
      </c>
      <c r="AC23" s="14">
        <f t="shared" si="37"/>
        <v>9277790.120000001</v>
      </c>
      <c r="AD23" s="383">
        <f t="shared" si="38"/>
        <v>11968349.254800001</v>
      </c>
      <c r="AE23" s="387">
        <f t="shared" si="39"/>
        <v>0</v>
      </c>
      <c r="AF23" s="16">
        <f t="shared" si="40"/>
        <v>0</v>
      </c>
      <c r="AG23" s="387">
        <f t="shared" si="41"/>
        <v>6821904.5</v>
      </c>
      <c r="AH23" s="14">
        <f t="shared" si="20"/>
        <v>1377</v>
      </c>
      <c r="AI23" s="387">
        <f>'Table 4 Level 3'!O21</f>
        <v>759538</v>
      </c>
      <c r="AJ23" s="14">
        <f t="shared" si="21"/>
        <v>153.31812676624949</v>
      </c>
      <c r="AK23" s="387">
        <f t="shared" si="42"/>
        <v>7581442.5</v>
      </c>
      <c r="AL23" s="14">
        <f t="shared" si="22"/>
        <v>1530.3678845377474</v>
      </c>
      <c r="AM23" s="505">
        <f>'Table 4 Level 3'!R21</f>
        <v>4161598.42</v>
      </c>
      <c r="AN23" s="506">
        <f t="shared" si="23"/>
        <v>840.04812676624942</v>
      </c>
      <c r="AO23" s="387">
        <f t="shared" si="43"/>
        <v>10983502.92</v>
      </c>
      <c r="AP23" s="14">
        <f t="shared" si="24"/>
        <v>2217.0978845377472</v>
      </c>
      <c r="AQ23" s="16">
        <f t="shared" si="44"/>
        <v>0.26968598610881361</v>
      </c>
      <c r="AR23" s="388">
        <f t="shared" si="45"/>
        <v>69</v>
      </c>
      <c r="AS23" s="14">
        <f t="shared" si="46"/>
        <v>29743503.620000001</v>
      </c>
      <c r="AT23" s="14">
        <f t="shared" si="25"/>
        <v>6003.94</v>
      </c>
      <c r="AU23" s="388">
        <f t="shared" si="47"/>
        <v>4</v>
      </c>
      <c r="AV23" s="16">
        <f t="shared" si="48"/>
        <v>0.73031401389118644</v>
      </c>
      <c r="AW23" s="388">
        <f t="shared" si="49"/>
        <v>40727006.539999999</v>
      </c>
      <c r="AX23" s="389">
        <f t="shared" si="26"/>
        <v>8221.0348284214779</v>
      </c>
      <c r="AY23" s="388">
        <f t="shared" si="50"/>
        <v>59</v>
      </c>
      <c r="AZ23" s="1212">
        <v>10472884.838</v>
      </c>
      <c r="BA23" s="280">
        <f t="shared" si="51"/>
        <v>510618.0820000004</v>
      </c>
      <c r="BB23" s="1873"/>
      <c r="BC23" s="347"/>
      <c r="BD23" s="347"/>
      <c r="BE23" s="347"/>
      <c r="BF23" s="347"/>
      <c r="BG23" s="347"/>
      <c r="BH23" s="347"/>
      <c r="BI23" s="347"/>
      <c r="BJ23" s="347"/>
      <c r="BK23" s="347"/>
      <c r="BL23" s="168"/>
      <c r="BM23" s="168"/>
      <c r="BN23" s="1899"/>
      <c r="BO23" s="168"/>
      <c r="BP23" s="168"/>
      <c r="BQ23" s="1881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</row>
    <row r="24" spans="1:149" s="1227" customFormat="1">
      <c r="A24" s="1218">
        <v>17</v>
      </c>
      <c r="B24" s="593" t="s">
        <v>109</v>
      </c>
      <c r="C24" s="593">
        <f>'2-1-13 SIS'!S23</f>
        <v>43026</v>
      </c>
      <c r="D24" s="593">
        <f>'[3]2-1-13-Supreme Court Ruling'!AE22</f>
        <v>36413</v>
      </c>
      <c r="E24" s="593">
        <f t="shared" si="12"/>
        <v>8011</v>
      </c>
      <c r="F24" s="593">
        <f>'[4]CTE-Oct 2012-Supreme Court'!AC23</f>
        <v>15595.5</v>
      </c>
      <c r="G24" s="593">
        <f t="shared" si="13"/>
        <v>936</v>
      </c>
      <c r="H24" s="1288">
        <f>'[5]SWD 2-1-13 Supreme Court'!Z22+25</f>
        <v>4581</v>
      </c>
      <c r="I24" s="1288">
        <f t="shared" si="27"/>
        <v>6871.5</v>
      </c>
      <c r="J24" s="1288">
        <f>'[6]GT_PS-12th Supreme Court'!T21</f>
        <v>1973</v>
      </c>
      <c r="K24" s="1288">
        <f t="shared" si="28"/>
        <v>1183.8</v>
      </c>
      <c r="L24" s="593">
        <f t="shared" si="14"/>
        <v>0</v>
      </c>
      <c r="M24" s="1219">
        <f t="shared" si="15"/>
        <v>0</v>
      </c>
      <c r="N24" s="593">
        <f t="shared" si="16"/>
        <v>0</v>
      </c>
      <c r="O24" s="593">
        <f t="shared" si="29"/>
        <v>17002.3</v>
      </c>
      <c r="P24" s="593">
        <f t="shared" si="17"/>
        <v>60028.3</v>
      </c>
      <c r="Q24" s="1220">
        <f t="shared" si="30"/>
        <v>3855</v>
      </c>
      <c r="R24" s="1220">
        <f t="shared" si="18"/>
        <v>231409097</v>
      </c>
      <c r="S24" s="1220">
        <f>'Table 6 (Local Deduct Calc.)'!J25</f>
        <v>119398655.5</v>
      </c>
      <c r="T24" s="1220">
        <f t="shared" si="31"/>
        <v>119398655.5</v>
      </c>
      <c r="U24" s="1264">
        <f t="shared" si="32"/>
        <v>112010441.5</v>
      </c>
      <c r="V24" s="1221">
        <f t="shared" si="52"/>
        <v>0.48399999999999999</v>
      </c>
      <c r="W24" s="1221">
        <f t="shared" si="33"/>
        <v>0.51600000000000001</v>
      </c>
      <c r="X24" s="1222">
        <f t="shared" si="19"/>
        <v>2775.0349904708783</v>
      </c>
      <c r="Y24" s="1220">
        <f>'Table 7 Local Revenue'!AQ24</f>
        <v>293576525.5</v>
      </c>
      <c r="Z24" s="1220">
        <f t="shared" si="34"/>
        <v>174177870</v>
      </c>
      <c r="AA24" s="1223">
        <f t="shared" si="35"/>
        <v>0</v>
      </c>
      <c r="AB24" s="586">
        <f t="shared" si="36"/>
        <v>78679092.980000004</v>
      </c>
      <c r="AC24" s="586">
        <f t="shared" si="37"/>
        <v>78679092.980000004</v>
      </c>
      <c r="AD24" s="1220">
        <f t="shared" si="38"/>
        <v>69829268.601609603</v>
      </c>
      <c r="AE24" s="588">
        <f t="shared" si="39"/>
        <v>8849824.3783904016</v>
      </c>
      <c r="AF24" s="576">
        <f t="shared" si="40"/>
        <v>0.1125</v>
      </c>
      <c r="AG24" s="588">
        <f t="shared" si="41"/>
        <v>120860265.8783904</v>
      </c>
      <c r="AH24" s="586">
        <f t="shared" si="20"/>
        <v>2809</v>
      </c>
      <c r="AI24" s="588">
        <f>'Table 4 Level 3'!O22</f>
        <v>21687739</v>
      </c>
      <c r="AJ24" s="586">
        <f t="shared" si="21"/>
        <v>504.06124203969694</v>
      </c>
      <c r="AK24" s="588">
        <f t="shared" si="42"/>
        <v>142548004.8783904</v>
      </c>
      <c r="AL24" s="586">
        <f t="shared" si="22"/>
        <v>3313.0666313017805</v>
      </c>
      <c r="AM24" s="1265">
        <f>'Table 4 Level 3'!R22</f>
        <v>56172115.257455297</v>
      </c>
      <c r="AN24" s="1224">
        <f t="shared" si="23"/>
        <v>1305.5388662077651</v>
      </c>
      <c r="AO24" s="588">
        <f t="shared" si="43"/>
        <v>177032381.13584569</v>
      </c>
      <c r="AP24" s="586">
        <f t="shared" si="24"/>
        <v>4114.5442554698484</v>
      </c>
      <c r="AQ24" s="576">
        <f t="shared" si="44"/>
        <v>0.47194774856425886</v>
      </c>
      <c r="AR24" s="1225">
        <f t="shared" si="45"/>
        <v>59</v>
      </c>
      <c r="AS24" s="586">
        <f t="shared" si="46"/>
        <v>198077748.47999999</v>
      </c>
      <c r="AT24" s="586">
        <f t="shared" si="25"/>
        <v>4603.68</v>
      </c>
      <c r="AU24" s="1225">
        <f t="shared" si="47"/>
        <v>12</v>
      </c>
      <c r="AV24" s="576">
        <f t="shared" si="48"/>
        <v>0.52805225143574108</v>
      </c>
      <c r="AW24" s="1225">
        <f t="shared" si="49"/>
        <v>375110129.61584568</v>
      </c>
      <c r="AX24" s="1226">
        <f t="shared" si="26"/>
        <v>8718.2199046122278</v>
      </c>
      <c r="AY24" s="1225">
        <f t="shared" si="50"/>
        <v>39</v>
      </c>
      <c r="AZ24" s="1266">
        <v>183217780.48914701</v>
      </c>
      <c r="BA24" s="1223">
        <f t="shared" si="51"/>
        <v>-6185399.3533013165</v>
      </c>
      <c r="BB24" s="1875"/>
      <c r="BC24" s="1902"/>
      <c r="BD24" s="1902"/>
      <c r="BE24" s="1902"/>
      <c r="BF24" s="1902"/>
      <c r="BG24" s="1902"/>
      <c r="BH24" s="1902"/>
      <c r="BI24" s="1902"/>
      <c r="BJ24" s="1902"/>
      <c r="BK24" s="1902"/>
      <c r="BL24" s="1903"/>
      <c r="BM24" s="1903"/>
      <c r="BN24" s="1904"/>
      <c r="BO24" s="1903"/>
      <c r="BP24" s="1903"/>
      <c r="BQ24" s="1884"/>
      <c r="BR24" s="710"/>
      <c r="BS24" s="710"/>
      <c r="BT24" s="710"/>
      <c r="BU24" s="710"/>
      <c r="BV24" s="710"/>
      <c r="BW24" s="710"/>
      <c r="BX24" s="710"/>
      <c r="BY24" s="710"/>
      <c r="BZ24" s="710"/>
      <c r="CA24" s="710"/>
      <c r="CB24" s="710"/>
      <c r="CC24" s="710"/>
      <c r="CD24" s="710"/>
      <c r="CE24" s="710"/>
      <c r="CF24" s="710"/>
      <c r="CG24" s="710"/>
      <c r="CH24" s="710"/>
      <c r="CI24" s="710"/>
      <c r="CJ24" s="710"/>
      <c r="CK24" s="710"/>
      <c r="CL24" s="710"/>
      <c r="CM24" s="710"/>
      <c r="CN24" s="710"/>
      <c r="CO24" s="710"/>
      <c r="CP24" s="710"/>
      <c r="CQ24" s="710"/>
      <c r="CR24" s="710"/>
      <c r="CS24" s="710"/>
      <c r="CT24" s="710"/>
      <c r="CU24" s="710"/>
      <c r="CV24" s="710"/>
      <c r="CW24" s="710"/>
      <c r="CX24" s="710"/>
      <c r="CY24" s="710"/>
      <c r="CZ24" s="710"/>
      <c r="DA24" s="710"/>
      <c r="DB24" s="710"/>
      <c r="DC24" s="710"/>
      <c r="DD24" s="710"/>
      <c r="DE24" s="710"/>
      <c r="DF24" s="710"/>
      <c r="DG24" s="710"/>
      <c r="DH24" s="710"/>
      <c r="DI24" s="710"/>
      <c r="DJ24" s="710"/>
      <c r="DK24" s="710"/>
      <c r="DL24" s="710"/>
      <c r="DM24" s="710"/>
      <c r="DN24" s="710"/>
      <c r="DO24" s="710"/>
      <c r="DP24" s="710"/>
      <c r="DQ24" s="710"/>
      <c r="DR24" s="710"/>
      <c r="DS24" s="710"/>
      <c r="DT24" s="710"/>
      <c r="DU24" s="710"/>
      <c r="DV24" s="710"/>
      <c r="DW24" s="710"/>
      <c r="DX24" s="710"/>
      <c r="DY24" s="710"/>
      <c r="DZ24" s="710"/>
      <c r="EA24" s="710"/>
      <c r="EB24" s="710"/>
      <c r="EC24" s="710"/>
      <c r="ED24" s="710"/>
      <c r="EE24" s="710"/>
      <c r="EF24" s="710"/>
      <c r="EG24" s="710"/>
      <c r="EH24" s="710"/>
      <c r="EI24" s="710"/>
      <c r="EJ24" s="710"/>
      <c r="EK24" s="710"/>
      <c r="EL24" s="710"/>
      <c r="EM24" s="710"/>
      <c r="EN24" s="710"/>
      <c r="EO24" s="710"/>
      <c r="EP24" s="710"/>
      <c r="EQ24" s="710"/>
      <c r="ER24" s="710"/>
      <c r="ES24" s="710"/>
    </row>
    <row r="25" spans="1:149" s="5" customFormat="1">
      <c r="A25" s="101">
        <v>18</v>
      </c>
      <c r="B25" s="81" t="s">
        <v>110</v>
      </c>
      <c r="C25" s="593">
        <f>'2-1-13 SIS'!S24</f>
        <v>1114</v>
      </c>
      <c r="D25" s="593">
        <f>'[3]2-1-13-Supreme Court Ruling'!AE23</f>
        <v>1039</v>
      </c>
      <c r="E25" s="593">
        <f t="shared" si="12"/>
        <v>229</v>
      </c>
      <c r="F25" s="593">
        <f>'[4]CTE-Oct 2012-Supreme Court'!AC24</f>
        <v>419.5</v>
      </c>
      <c r="G25" s="593">
        <f t="shared" si="13"/>
        <v>25</v>
      </c>
      <c r="H25" s="1288">
        <f>'[5]SWD 2-1-13 Supreme Court'!Z23</f>
        <v>121</v>
      </c>
      <c r="I25" s="1288">
        <f t="shared" si="27"/>
        <v>181.5</v>
      </c>
      <c r="J25" s="1288">
        <f>'[6]GT_PS-12th Supreme Court'!T22</f>
        <v>1</v>
      </c>
      <c r="K25" s="1288">
        <f t="shared" si="28"/>
        <v>0.6</v>
      </c>
      <c r="L25" s="13">
        <f t="shared" si="14"/>
        <v>6386</v>
      </c>
      <c r="M25" s="65">
        <f t="shared" si="15"/>
        <v>0.17029</v>
      </c>
      <c r="N25" s="13">
        <f t="shared" si="16"/>
        <v>190</v>
      </c>
      <c r="O25" s="13">
        <f t="shared" si="29"/>
        <v>626.1</v>
      </c>
      <c r="P25" s="13">
        <f t="shared" si="17"/>
        <v>1740.1</v>
      </c>
      <c r="Q25" s="383">
        <f t="shared" si="30"/>
        <v>3855</v>
      </c>
      <c r="R25" s="383">
        <f t="shared" si="18"/>
        <v>6708086</v>
      </c>
      <c r="S25" s="383">
        <f>'Table 6 (Local Deduct Calc.)'!J26</f>
        <v>1177900.5</v>
      </c>
      <c r="T25" s="383">
        <f t="shared" si="31"/>
        <v>1177900.5</v>
      </c>
      <c r="U25" s="384">
        <f t="shared" si="32"/>
        <v>5530185.5</v>
      </c>
      <c r="V25" s="385">
        <f t="shared" si="52"/>
        <v>0.82440000000000002</v>
      </c>
      <c r="W25" s="385">
        <f t="shared" si="33"/>
        <v>0.17560000000000001</v>
      </c>
      <c r="X25" s="386">
        <f t="shared" si="19"/>
        <v>1057.3613105924596</v>
      </c>
      <c r="Y25" s="383">
        <f>'Table 7 Local Revenue'!AQ25</f>
        <v>2546748.5</v>
      </c>
      <c r="Z25" s="383">
        <f t="shared" si="34"/>
        <v>1368848</v>
      </c>
      <c r="AA25" s="280">
        <f t="shared" si="35"/>
        <v>0</v>
      </c>
      <c r="AB25" s="14">
        <f t="shared" si="36"/>
        <v>2280749.2400000002</v>
      </c>
      <c r="AC25" s="14">
        <f t="shared" si="37"/>
        <v>1368848</v>
      </c>
      <c r="AD25" s="383">
        <f t="shared" si="38"/>
        <v>413435.89913600002</v>
      </c>
      <c r="AE25" s="387">
        <f t="shared" si="39"/>
        <v>955412.10086399992</v>
      </c>
      <c r="AF25" s="16">
        <f t="shared" si="40"/>
        <v>0.69799999999999995</v>
      </c>
      <c r="AG25" s="387">
        <f t="shared" si="41"/>
        <v>6485597.6008639997</v>
      </c>
      <c r="AH25" s="14">
        <f t="shared" si="20"/>
        <v>5822</v>
      </c>
      <c r="AI25" s="387">
        <f>'Table 4 Level 3'!O23</f>
        <v>186299</v>
      </c>
      <c r="AJ25" s="14">
        <f t="shared" si="21"/>
        <v>167.23429084380609</v>
      </c>
      <c r="AK25" s="387">
        <f t="shared" si="42"/>
        <v>6671896.6008639997</v>
      </c>
      <c r="AL25" s="14">
        <f t="shared" si="22"/>
        <v>5989.1351892854573</v>
      </c>
      <c r="AM25" s="505">
        <f>'Table 4 Level 3'!R23</f>
        <v>1128687.2999999998</v>
      </c>
      <c r="AN25" s="506">
        <f t="shared" si="23"/>
        <v>1013.1842908438059</v>
      </c>
      <c r="AO25" s="387">
        <f t="shared" si="43"/>
        <v>7614284.9008639995</v>
      </c>
      <c r="AP25" s="14">
        <f t="shared" si="24"/>
        <v>6835.0851892854571</v>
      </c>
      <c r="AQ25" s="16">
        <f t="shared" si="44"/>
        <v>0.7493612706967927</v>
      </c>
      <c r="AR25" s="388">
        <f t="shared" si="45"/>
        <v>7</v>
      </c>
      <c r="AS25" s="14">
        <f t="shared" si="46"/>
        <v>2546748.5</v>
      </c>
      <c r="AT25" s="14">
        <f t="shared" si="25"/>
        <v>2286.13</v>
      </c>
      <c r="AU25" s="388">
        <f t="shared" si="47"/>
        <v>59</v>
      </c>
      <c r="AV25" s="16">
        <f t="shared" si="48"/>
        <v>0.2506387293032073</v>
      </c>
      <c r="AW25" s="388">
        <f t="shared" si="49"/>
        <v>10161033.400864</v>
      </c>
      <c r="AX25" s="389">
        <f t="shared" si="26"/>
        <v>9121.2149020323159</v>
      </c>
      <c r="AY25" s="388">
        <f t="shared" si="50"/>
        <v>20</v>
      </c>
      <c r="AZ25" s="1212">
        <v>7604117.3686814159</v>
      </c>
      <c r="BA25" s="280">
        <f t="shared" si="51"/>
        <v>10167.532182583585</v>
      </c>
      <c r="BB25" s="1873"/>
      <c r="BC25" s="347"/>
      <c r="BD25" s="347"/>
      <c r="BE25" s="347"/>
      <c r="BF25" s="347"/>
      <c r="BG25" s="347"/>
      <c r="BH25" s="347"/>
      <c r="BI25" s="347"/>
      <c r="BJ25" s="347"/>
      <c r="BK25" s="347"/>
      <c r="BL25" s="168"/>
      <c r="BM25" s="168"/>
      <c r="BN25" s="1899"/>
      <c r="BO25" s="168"/>
      <c r="BP25" s="168"/>
      <c r="BQ25" s="1881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</row>
    <row r="26" spans="1:149" s="5" customFormat="1">
      <c r="A26" s="101">
        <v>19</v>
      </c>
      <c r="B26" s="81" t="s">
        <v>111</v>
      </c>
      <c r="C26" s="593">
        <f>'2-1-13 SIS'!S25</f>
        <v>1918</v>
      </c>
      <c r="D26" s="593">
        <f>'[3]2-1-13-Supreme Court Ruling'!AE24</f>
        <v>1594</v>
      </c>
      <c r="E26" s="593">
        <f t="shared" si="12"/>
        <v>351</v>
      </c>
      <c r="F26" s="593">
        <f>'[4]CTE-Oct 2012-Supreme Court'!AC25</f>
        <v>683</v>
      </c>
      <c r="G26" s="593">
        <f t="shared" si="13"/>
        <v>41</v>
      </c>
      <c r="H26" s="1288">
        <f>'[5]SWD 2-1-13 Supreme Court'!Z24</f>
        <v>270</v>
      </c>
      <c r="I26" s="1288">
        <f t="shared" si="27"/>
        <v>405</v>
      </c>
      <c r="J26" s="1288">
        <f>'[6]GT_PS-12th Supreme Court'!T23</f>
        <v>19</v>
      </c>
      <c r="K26" s="1288">
        <f t="shared" si="28"/>
        <v>11.4</v>
      </c>
      <c r="L26" s="13">
        <f t="shared" si="14"/>
        <v>5582</v>
      </c>
      <c r="M26" s="65">
        <f t="shared" si="15"/>
        <v>0.14885000000000001</v>
      </c>
      <c r="N26" s="13">
        <f t="shared" si="16"/>
        <v>285</v>
      </c>
      <c r="O26" s="13">
        <f t="shared" si="29"/>
        <v>1093.4000000000001</v>
      </c>
      <c r="P26" s="13">
        <f t="shared" si="17"/>
        <v>3011.4</v>
      </c>
      <c r="Q26" s="383">
        <f t="shared" si="30"/>
        <v>3855</v>
      </c>
      <c r="R26" s="383">
        <f t="shared" si="18"/>
        <v>11608947</v>
      </c>
      <c r="S26" s="383">
        <f>'Table 6 (Local Deduct Calc.)'!J27</f>
        <v>2987282.5</v>
      </c>
      <c r="T26" s="383">
        <f t="shared" si="31"/>
        <v>2987282.5</v>
      </c>
      <c r="U26" s="384">
        <f t="shared" si="32"/>
        <v>8621664.5</v>
      </c>
      <c r="V26" s="385">
        <f t="shared" si="52"/>
        <v>0.74270000000000003</v>
      </c>
      <c r="W26" s="385">
        <f t="shared" si="33"/>
        <v>0.25729999999999997</v>
      </c>
      <c r="X26" s="386">
        <f t="shared" si="19"/>
        <v>1557.4986965589155</v>
      </c>
      <c r="Y26" s="383">
        <f>'Table 7 Local Revenue'!AQ26</f>
        <v>5297638.5</v>
      </c>
      <c r="Z26" s="383">
        <f t="shared" si="34"/>
        <v>2310356</v>
      </c>
      <c r="AA26" s="280">
        <f t="shared" si="35"/>
        <v>0</v>
      </c>
      <c r="AB26" s="14">
        <f t="shared" si="36"/>
        <v>3947041.9800000004</v>
      </c>
      <c r="AC26" s="14">
        <f t="shared" si="37"/>
        <v>2310356</v>
      </c>
      <c r="AD26" s="383">
        <f t="shared" si="38"/>
        <v>1022461.9099359999</v>
      </c>
      <c r="AE26" s="387">
        <f t="shared" si="39"/>
        <v>1287894.0900640001</v>
      </c>
      <c r="AF26" s="16">
        <f t="shared" si="40"/>
        <v>0.55740000000000001</v>
      </c>
      <c r="AG26" s="387">
        <f t="shared" si="41"/>
        <v>9909558.5900640003</v>
      </c>
      <c r="AH26" s="14">
        <f t="shared" si="20"/>
        <v>5167</v>
      </c>
      <c r="AI26" s="387">
        <f>'Table 4 Level 3'!O24</f>
        <v>286321</v>
      </c>
      <c r="AJ26" s="14">
        <f t="shared" si="21"/>
        <v>149.28102189781021</v>
      </c>
      <c r="AK26" s="387">
        <f t="shared" si="42"/>
        <v>10195879.590064</v>
      </c>
      <c r="AL26" s="14">
        <f t="shared" si="22"/>
        <v>5315.8913399708035</v>
      </c>
      <c r="AM26" s="505">
        <f>'Table 4 Level 3'!R24</f>
        <v>2022935.74</v>
      </c>
      <c r="AN26" s="506">
        <f t="shared" si="23"/>
        <v>1054.7110218978103</v>
      </c>
      <c r="AO26" s="387">
        <f t="shared" si="43"/>
        <v>11932494.330064001</v>
      </c>
      <c r="AP26" s="14">
        <f t="shared" si="24"/>
        <v>6221.3213399708029</v>
      </c>
      <c r="AQ26" s="16">
        <f t="shared" si="44"/>
        <v>0.69253640977413633</v>
      </c>
      <c r="AR26" s="388">
        <f t="shared" si="45"/>
        <v>21</v>
      </c>
      <c r="AS26" s="14">
        <f t="shared" si="46"/>
        <v>5297638.5</v>
      </c>
      <c r="AT26" s="14">
        <f t="shared" si="25"/>
        <v>2762.06</v>
      </c>
      <c r="AU26" s="388">
        <f t="shared" si="47"/>
        <v>54</v>
      </c>
      <c r="AV26" s="16">
        <f t="shared" si="48"/>
        <v>0.30746359022586378</v>
      </c>
      <c r="AW26" s="388">
        <f t="shared" si="49"/>
        <v>17230132.830063999</v>
      </c>
      <c r="AX26" s="389">
        <f t="shared" si="26"/>
        <v>8983.3852085839408</v>
      </c>
      <c r="AY26" s="388">
        <f t="shared" si="50"/>
        <v>25</v>
      </c>
      <c r="AZ26" s="1212">
        <v>11978768.294307999</v>
      </c>
      <c r="BA26" s="280">
        <f t="shared" si="51"/>
        <v>-46273.964243998751</v>
      </c>
      <c r="BB26" s="1872"/>
      <c r="BC26" s="347"/>
      <c r="BD26" s="347"/>
      <c r="BE26" s="347"/>
      <c r="BF26" s="347"/>
      <c r="BG26" s="347"/>
      <c r="BH26" s="347"/>
      <c r="BI26" s="347"/>
      <c r="BJ26" s="347"/>
      <c r="BK26" s="347"/>
      <c r="BL26" s="168"/>
      <c r="BM26" s="168"/>
      <c r="BN26" s="1899"/>
      <c r="BO26" s="168"/>
      <c r="BP26" s="168"/>
      <c r="BQ26" s="1881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</row>
    <row r="27" spans="1:149" s="21" customFormat="1">
      <c r="A27" s="102">
        <v>20</v>
      </c>
      <c r="B27" s="82" t="s">
        <v>112</v>
      </c>
      <c r="C27" s="82">
        <f>'2-1-13 SIS'!S26</f>
        <v>5893</v>
      </c>
      <c r="D27" s="82">
        <f>'[3]2-1-13-Supreme Court Ruling'!AE25</f>
        <v>4512</v>
      </c>
      <c r="E27" s="82">
        <f t="shared" si="12"/>
        <v>993</v>
      </c>
      <c r="F27" s="82">
        <f>'[4]CTE-Oct 2012-Supreme Court'!AC26</f>
        <v>1811.5</v>
      </c>
      <c r="G27" s="82">
        <f t="shared" si="13"/>
        <v>109</v>
      </c>
      <c r="H27" s="82">
        <f>'[5]SWD 2-1-13 Supreme Court'!Z25</f>
        <v>822</v>
      </c>
      <c r="I27" s="82">
        <f t="shared" si="27"/>
        <v>1233</v>
      </c>
      <c r="J27" s="82">
        <f>'[6]GT_PS-12th Supreme Court'!T24</f>
        <v>71</v>
      </c>
      <c r="K27" s="82">
        <f t="shared" si="28"/>
        <v>42.6</v>
      </c>
      <c r="L27" s="19">
        <f t="shared" si="14"/>
        <v>1607</v>
      </c>
      <c r="M27" s="66">
        <f t="shared" si="15"/>
        <v>4.2849999999999999E-2</v>
      </c>
      <c r="N27" s="19">
        <f t="shared" si="16"/>
        <v>253</v>
      </c>
      <c r="O27" s="19">
        <f t="shared" si="29"/>
        <v>2630.6</v>
      </c>
      <c r="P27" s="13">
        <f t="shared" si="17"/>
        <v>8523.6</v>
      </c>
      <c r="Q27" s="390">
        <f t="shared" si="30"/>
        <v>3855</v>
      </c>
      <c r="R27" s="390">
        <f t="shared" si="18"/>
        <v>32858478</v>
      </c>
      <c r="S27" s="390">
        <f>'Table 6 (Local Deduct Calc.)'!J28</f>
        <v>6629569</v>
      </c>
      <c r="T27" s="390">
        <f t="shared" si="31"/>
        <v>6629569</v>
      </c>
      <c r="U27" s="391">
        <f t="shared" si="32"/>
        <v>26228909</v>
      </c>
      <c r="V27" s="392">
        <f t="shared" si="52"/>
        <v>0.79820000000000002</v>
      </c>
      <c r="W27" s="393">
        <f t="shared" si="33"/>
        <v>0.20180000000000001</v>
      </c>
      <c r="X27" s="394">
        <f t="shared" si="19"/>
        <v>1124.9904972000679</v>
      </c>
      <c r="Y27" s="390">
        <f>'Table 7 Local Revenue'!AQ27</f>
        <v>14395441</v>
      </c>
      <c r="Z27" s="390">
        <f t="shared" si="34"/>
        <v>7765872</v>
      </c>
      <c r="AA27" s="281">
        <f t="shared" si="35"/>
        <v>0</v>
      </c>
      <c r="AB27" s="20">
        <f t="shared" si="36"/>
        <v>11171882.520000001</v>
      </c>
      <c r="AC27" s="20">
        <f t="shared" si="37"/>
        <v>7765872</v>
      </c>
      <c r="AD27" s="390">
        <f t="shared" si="38"/>
        <v>2695503.1077120001</v>
      </c>
      <c r="AE27" s="395">
        <f t="shared" si="39"/>
        <v>5070368.8922879994</v>
      </c>
      <c r="AF27" s="274">
        <f t="shared" si="40"/>
        <v>0.65290000000000004</v>
      </c>
      <c r="AG27" s="395">
        <f t="shared" si="41"/>
        <v>31299277.892287999</v>
      </c>
      <c r="AH27" s="20">
        <f t="shared" si="20"/>
        <v>5311</v>
      </c>
      <c r="AI27" s="395">
        <f>'Table 4 Level 3'!O25</f>
        <v>641986</v>
      </c>
      <c r="AJ27" s="20">
        <f t="shared" si="21"/>
        <v>108.9404378075683</v>
      </c>
      <c r="AK27" s="395">
        <f t="shared" si="42"/>
        <v>31941263.892287999</v>
      </c>
      <c r="AL27" s="20">
        <f t="shared" si="22"/>
        <v>5420.2042919205833</v>
      </c>
      <c r="AM27" s="507">
        <f>'Table 4 Level 3'!R25</f>
        <v>4096285.8099999996</v>
      </c>
      <c r="AN27" s="508">
        <f t="shared" si="23"/>
        <v>695.11043780756825</v>
      </c>
      <c r="AO27" s="395">
        <f t="shared" si="43"/>
        <v>35395563.702288002</v>
      </c>
      <c r="AP27" s="20">
        <f t="shared" si="24"/>
        <v>6006.3742919205843</v>
      </c>
      <c r="AQ27" s="274">
        <f t="shared" si="44"/>
        <v>0.71088269686314443</v>
      </c>
      <c r="AR27" s="396">
        <f t="shared" si="45"/>
        <v>14</v>
      </c>
      <c r="AS27" s="20">
        <f t="shared" si="46"/>
        <v>14395441</v>
      </c>
      <c r="AT27" s="20">
        <f t="shared" si="25"/>
        <v>2442.8000000000002</v>
      </c>
      <c r="AU27" s="396">
        <f t="shared" si="47"/>
        <v>57</v>
      </c>
      <c r="AV27" s="274">
        <f t="shared" si="48"/>
        <v>0.28911730313685552</v>
      </c>
      <c r="AW27" s="396">
        <f t="shared" si="49"/>
        <v>49791004.702288002</v>
      </c>
      <c r="AX27" s="397">
        <f t="shared" si="26"/>
        <v>8449.1777875934167</v>
      </c>
      <c r="AY27" s="396">
        <f t="shared" si="50"/>
        <v>52</v>
      </c>
      <c r="AZ27" s="1213">
        <v>35076113.406792</v>
      </c>
      <c r="BA27" s="281">
        <f t="shared" si="51"/>
        <v>319450.29549600184</v>
      </c>
      <c r="BB27" s="1874"/>
      <c r="BC27" s="347"/>
      <c r="BD27" s="347"/>
      <c r="BE27" s="347"/>
      <c r="BF27" s="347"/>
      <c r="BG27" s="347"/>
      <c r="BH27" s="347"/>
      <c r="BI27" s="347"/>
      <c r="BJ27" s="347"/>
      <c r="BK27" s="347"/>
      <c r="BL27" s="168"/>
      <c r="BM27" s="168"/>
      <c r="BN27" s="1899"/>
      <c r="BO27" s="168"/>
      <c r="BP27" s="168"/>
      <c r="BQ27" s="1882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</row>
    <row r="28" spans="1:149" s="5" customFormat="1">
      <c r="A28" s="101">
        <v>21</v>
      </c>
      <c r="B28" s="81" t="s">
        <v>113</v>
      </c>
      <c r="C28" s="81">
        <f>'2-1-13 SIS'!S27</f>
        <v>2967</v>
      </c>
      <c r="D28" s="81">
        <f>'[3]2-1-13-Supreme Court Ruling'!AE26</f>
        <v>2473</v>
      </c>
      <c r="E28" s="81">
        <f t="shared" si="12"/>
        <v>544</v>
      </c>
      <c r="F28" s="81">
        <f>'[4]CTE-Oct 2012-Supreme Court'!AC27</f>
        <v>1179.5</v>
      </c>
      <c r="G28" s="81">
        <f t="shared" si="13"/>
        <v>71</v>
      </c>
      <c r="H28" s="1287">
        <f>'[5]SWD 2-1-13 Supreme Court'!Z26</f>
        <v>409</v>
      </c>
      <c r="I28" s="1287">
        <f t="shared" si="27"/>
        <v>613.5</v>
      </c>
      <c r="J28" s="1287">
        <f>'[6]GT_PS-12th Supreme Court'!T25</f>
        <v>25</v>
      </c>
      <c r="K28" s="1287">
        <f t="shared" si="28"/>
        <v>15</v>
      </c>
      <c r="L28" s="13">
        <f t="shared" si="14"/>
        <v>4533</v>
      </c>
      <c r="M28" s="65">
        <f t="shared" si="15"/>
        <v>0.12088</v>
      </c>
      <c r="N28" s="13">
        <f t="shared" si="16"/>
        <v>359</v>
      </c>
      <c r="O28" s="13">
        <f t="shared" si="29"/>
        <v>1602.5</v>
      </c>
      <c r="P28" s="36">
        <f t="shared" si="17"/>
        <v>4569.5</v>
      </c>
      <c r="Q28" s="383">
        <f t="shared" si="30"/>
        <v>3855</v>
      </c>
      <c r="R28" s="383">
        <f t="shared" si="18"/>
        <v>17615423</v>
      </c>
      <c r="S28" s="383">
        <f>'Table 6 (Local Deduct Calc.)'!J29</f>
        <v>3355649.5</v>
      </c>
      <c r="T28" s="383">
        <f t="shared" si="31"/>
        <v>3355649.5</v>
      </c>
      <c r="U28" s="384">
        <f t="shared" si="32"/>
        <v>14259773.5</v>
      </c>
      <c r="V28" s="385">
        <f t="shared" si="52"/>
        <v>0.8095</v>
      </c>
      <c r="W28" s="385">
        <f t="shared" si="33"/>
        <v>0.1905</v>
      </c>
      <c r="X28" s="386">
        <f t="shared" si="19"/>
        <v>1130.9907313784968</v>
      </c>
      <c r="Y28" s="383">
        <f>'Table 7 Local Revenue'!AQ28</f>
        <v>6749798.5</v>
      </c>
      <c r="Z28" s="383">
        <f t="shared" si="34"/>
        <v>3394149</v>
      </c>
      <c r="AA28" s="280">
        <f t="shared" si="35"/>
        <v>0</v>
      </c>
      <c r="AB28" s="14">
        <f t="shared" si="36"/>
        <v>5989243.8200000003</v>
      </c>
      <c r="AC28" s="14">
        <f t="shared" si="37"/>
        <v>3394149</v>
      </c>
      <c r="AD28" s="383">
        <f t="shared" si="38"/>
        <v>1112126.8613400001</v>
      </c>
      <c r="AE28" s="387">
        <f t="shared" si="39"/>
        <v>2282022.1386599997</v>
      </c>
      <c r="AF28" s="16">
        <f t="shared" si="40"/>
        <v>0.67230000000000001</v>
      </c>
      <c r="AG28" s="387">
        <f t="shared" si="41"/>
        <v>16541795.638659999</v>
      </c>
      <c r="AH28" s="14">
        <f t="shared" si="20"/>
        <v>5575</v>
      </c>
      <c r="AI28" s="387">
        <f>'Table 4 Level 3'!O26</f>
        <v>442916</v>
      </c>
      <c r="AJ28" s="14">
        <f t="shared" si="21"/>
        <v>149.28075497135154</v>
      </c>
      <c r="AK28" s="387">
        <f t="shared" si="42"/>
        <v>16984711.638659999</v>
      </c>
      <c r="AL28" s="14">
        <f t="shared" si="22"/>
        <v>5724.5404916279067</v>
      </c>
      <c r="AM28" s="505">
        <f>'Table 4 Level 3'!R26</f>
        <v>2253824.4500000002</v>
      </c>
      <c r="AN28" s="506">
        <f t="shared" si="23"/>
        <v>759.63075497135162</v>
      </c>
      <c r="AO28" s="387">
        <f t="shared" si="43"/>
        <v>18795620.088659998</v>
      </c>
      <c r="AP28" s="14">
        <f t="shared" si="24"/>
        <v>6334.8904916279062</v>
      </c>
      <c r="AQ28" s="16">
        <f t="shared" si="44"/>
        <v>0.73577264053929659</v>
      </c>
      <c r="AR28" s="388">
        <f t="shared" si="45"/>
        <v>10</v>
      </c>
      <c r="AS28" s="14">
        <f t="shared" si="46"/>
        <v>6749798.5</v>
      </c>
      <c r="AT28" s="14">
        <f t="shared" si="25"/>
        <v>2274.96</v>
      </c>
      <c r="AU28" s="388">
        <f t="shared" si="47"/>
        <v>60</v>
      </c>
      <c r="AV28" s="16">
        <f t="shared" si="48"/>
        <v>0.26422735946070341</v>
      </c>
      <c r="AW28" s="388">
        <f t="shared" si="49"/>
        <v>25545418.588659998</v>
      </c>
      <c r="AX28" s="389">
        <f t="shared" si="26"/>
        <v>8609.847855968992</v>
      </c>
      <c r="AY28" s="388">
        <f t="shared" si="50"/>
        <v>44</v>
      </c>
      <c r="AZ28" s="1212">
        <v>19219915.395076312</v>
      </c>
      <c r="BA28" s="280">
        <f t="shared" si="51"/>
        <v>-424295.3064163141</v>
      </c>
      <c r="BB28" s="1872"/>
      <c r="BC28" s="347"/>
      <c r="BD28" s="347"/>
      <c r="BE28" s="347"/>
      <c r="BF28" s="347"/>
      <c r="BG28" s="347"/>
      <c r="BH28" s="347"/>
      <c r="BI28" s="347"/>
      <c r="BJ28" s="347"/>
      <c r="BK28" s="347"/>
      <c r="BL28" s="168"/>
      <c r="BM28" s="168"/>
      <c r="BN28" s="1899"/>
      <c r="BO28" s="168"/>
      <c r="BP28" s="168"/>
      <c r="BQ28" s="1881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</row>
    <row r="29" spans="1:149" s="5" customFormat="1">
      <c r="A29" s="101">
        <v>22</v>
      </c>
      <c r="B29" s="81" t="s">
        <v>114</v>
      </c>
      <c r="C29" s="81">
        <f>'2-1-13 SIS'!S28</f>
        <v>3210</v>
      </c>
      <c r="D29" s="81">
        <f>'[3]2-1-13-Supreme Court Ruling'!AE27</f>
        <v>2119</v>
      </c>
      <c r="E29" s="81">
        <f t="shared" si="12"/>
        <v>466</v>
      </c>
      <c r="F29" s="81">
        <f>'[4]CTE-Oct 2012-Supreme Court'!AC28</f>
        <v>920</v>
      </c>
      <c r="G29" s="81">
        <f t="shared" si="13"/>
        <v>55</v>
      </c>
      <c r="H29" s="1287">
        <f>'[5]SWD 2-1-13 Supreme Court'!Z27</f>
        <v>500</v>
      </c>
      <c r="I29" s="1287">
        <f t="shared" si="27"/>
        <v>750</v>
      </c>
      <c r="J29" s="1287">
        <f>'[6]GT_PS-12th Supreme Court'!T26</f>
        <v>28</v>
      </c>
      <c r="K29" s="1287">
        <f t="shared" si="28"/>
        <v>16.8</v>
      </c>
      <c r="L29" s="13">
        <f t="shared" si="14"/>
        <v>4290</v>
      </c>
      <c r="M29" s="65">
        <f t="shared" si="15"/>
        <v>0.1144</v>
      </c>
      <c r="N29" s="13">
        <f t="shared" si="16"/>
        <v>367</v>
      </c>
      <c r="O29" s="13">
        <f t="shared" si="29"/>
        <v>1654.8</v>
      </c>
      <c r="P29" s="13">
        <f t="shared" si="17"/>
        <v>4864.8</v>
      </c>
      <c r="Q29" s="383">
        <f t="shared" si="30"/>
        <v>3855</v>
      </c>
      <c r="R29" s="383">
        <f t="shared" si="18"/>
        <v>18753804</v>
      </c>
      <c r="S29" s="383">
        <f>'Table 6 (Local Deduct Calc.)'!J30</f>
        <v>1960919</v>
      </c>
      <c r="T29" s="383">
        <f t="shared" si="31"/>
        <v>1960919</v>
      </c>
      <c r="U29" s="384">
        <f t="shared" si="32"/>
        <v>16792885</v>
      </c>
      <c r="V29" s="385">
        <f t="shared" si="52"/>
        <v>0.89539999999999997</v>
      </c>
      <c r="W29" s="385">
        <f t="shared" si="33"/>
        <v>0.1046</v>
      </c>
      <c r="X29" s="386">
        <f t="shared" si="19"/>
        <v>610.8781931464174</v>
      </c>
      <c r="Y29" s="383">
        <f>'Table 7 Local Revenue'!AQ29</f>
        <v>5180689</v>
      </c>
      <c r="Z29" s="383">
        <f t="shared" si="34"/>
        <v>3219770</v>
      </c>
      <c r="AA29" s="280">
        <f t="shared" si="35"/>
        <v>0</v>
      </c>
      <c r="AB29" s="14">
        <f t="shared" si="36"/>
        <v>6376293.3600000003</v>
      </c>
      <c r="AC29" s="14">
        <f t="shared" si="37"/>
        <v>3219770</v>
      </c>
      <c r="AD29" s="383">
        <f t="shared" si="38"/>
        <v>579275.26023999997</v>
      </c>
      <c r="AE29" s="387">
        <f t="shared" si="39"/>
        <v>2640494.7397600003</v>
      </c>
      <c r="AF29" s="16">
        <f t="shared" si="40"/>
        <v>0.82010000000000005</v>
      </c>
      <c r="AG29" s="387">
        <f t="shared" si="41"/>
        <v>19433379.73976</v>
      </c>
      <c r="AH29" s="14">
        <f t="shared" si="20"/>
        <v>6054</v>
      </c>
      <c r="AI29" s="387">
        <f>'Table 4 Level 3'!O27</f>
        <v>479192</v>
      </c>
      <c r="AJ29" s="14">
        <f t="shared" si="21"/>
        <v>149.2809968847352</v>
      </c>
      <c r="AK29" s="387">
        <f t="shared" si="42"/>
        <v>19912571.73976</v>
      </c>
      <c r="AL29" s="14">
        <f t="shared" si="22"/>
        <v>6203.2933768722742</v>
      </c>
      <c r="AM29" s="505">
        <f>'Table 4 Level 3'!R27</f>
        <v>2072507.6</v>
      </c>
      <c r="AN29" s="506">
        <f t="shared" si="23"/>
        <v>645.64099688473527</v>
      </c>
      <c r="AO29" s="387">
        <f t="shared" si="43"/>
        <v>21505887.339760002</v>
      </c>
      <c r="AP29" s="14">
        <f t="shared" si="24"/>
        <v>6699.6533768722747</v>
      </c>
      <c r="AQ29" s="16">
        <f t="shared" si="44"/>
        <v>0.80586910310104654</v>
      </c>
      <c r="AR29" s="388">
        <f t="shared" si="45"/>
        <v>2</v>
      </c>
      <c r="AS29" s="14">
        <f t="shared" si="46"/>
        <v>5180689</v>
      </c>
      <c r="AT29" s="14">
        <f t="shared" si="25"/>
        <v>1613.92</v>
      </c>
      <c r="AU29" s="388">
        <f t="shared" si="47"/>
        <v>67</v>
      </c>
      <c r="AV29" s="16">
        <f t="shared" si="48"/>
        <v>0.19413089689895346</v>
      </c>
      <c r="AW29" s="388">
        <f t="shared" si="49"/>
        <v>26686576.339760002</v>
      </c>
      <c r="AX29" s="389">
        <f t="shared" si="26"/>
        <v>8313.5751837258576</v>
      </c>
      <c r="AY29" s="388">
        <f t="shared" si="50"/>
        <v>56</v>
      </c>
      <c r="AZ29" s="1212">
        <v>21966422.041484002</v>
      </c>
      <c r="BA29" s="280">
        <f t="shared" si="51"/>
        <v>-460534.70172400028</v>
      </c>
      <c r="BB29" s="1873"/>
      <c r="BC29" s="347"/>
      <c r="BD29" s="347"/>
      <c r="BE29" s="347"/>
      <c r="BF29" s="347"/>
      <c r="BG29" s="347"/>
      <c r="BH29" s="347"/>
      <c r="BI29" s="347"/>
      <c r="BJ29" s="347"/>
      <c r="BK29" s="347"/>
      <c r="BL29" s="168"/>
      <c r="BM29" s="168"/>
      <c r="BN29" s="1899"/>
      <c r="BO29" s="168"/>
      <c r="BP29" s="168"/>
      <c r="BQ29" s="1881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</row>
    <row r="30" spans="1:149" s="5" customFormat="1">
      <c r="A30" s="101">
        <v>23</v>
      </c>
      <c r="B30" s="81" t="s">
        <v>115</v>
      </c>
      <c r="C30" s="81">
        <f>'2-1-13 SIS'!S29</f>
        <v>13428</v>
      </c>
      <c r="D30" s="81">
        <f>'[3]2-1-13-Supreme Court Ruling'!AE28</f>
        <v>9534</v>
      </c>
      <c r="E30" s="81">
        <f t="shared" si="12"/>
        <v>2097</v>
      </c>
      <c r="F30" s="81">
        <f>'[4]CTE-Oct 2012-Supreme Court'!AC29</f>
        <v>5491</v>
      </c>
      <c r="G30" s="81">
        <f t="shared" si="13"/>
        <v>329</v>
      </c>
      <c r="H30" s="1287">
        <f>'[5]SWD 2-1-13 Supreme Court'!Z28</f>
        <v>1570</v>
      </c>
      <c r="I30" s="1287">
        <f t="shared" si="27"/>
        <v>2355</v>
      </c>
      <c r="J30" s="1287">
        <f>'[6]GT_PS-12th Supreme Court'!T27</f>
        <v>407</v>
      </c>
      <c r="K30" s="1287">
        <f t="shared" si="28"/>
        <v>244.2</v>
      </c>
      <c r="L30" s="13">
        <f t="shared" si="14"/>
        <v>0</v>
      </c>
      <c r="M30" s="65">
        <f t="shared" si="15"/>
        <v>0</v>
      </c>
      <c r="N30" s="13">
        <f t="shared" si="16"/>
        <v>0</v>
      </c>
      <c r="O30" s="13">
        <f t="shared" si="29"/>
        <v>5025.2</v>
      </c>
      <c r="P30" s="13">
        <f t="shared" si="17"/>
        <v>18453.2</v>
      </c>
      <c r="Q30" s="383">
        <f t="shared" si="30"/>
        <v>3855</v>
      </c>
      <c r="R30" s="383">
        <f t="shared" si="18"/>
        <v>71137086</v>
      </c>
      <c r="S30" s="383">
        <f>'Table 6 (Local Deduct Calc.)'!J31</f>
        <v>20478155</v>
      </c>
      <c r="T30" s="383">
        <f t="shared" si="31"/>
        <v>20478155</v>
      </c>
      <c r="U30" s="384">
        <f t="shared" si="32"/>
        <v>50658931</v>
      </c>
      <c r="V30" s="385">
        <f t="shared" si="52"/>
        <v>0.71209999999999996</v>
      </c>
      <c r="W30" s="385">
        <f t="shared" si="33"/>
        <v>0.28789999999999999</v>
      </c>
      <c r="X30" s="386">
        <f t="shared" si="19"/>
        <v>1525.0338844206137</v>
      </c>
      <c r="Y30" s="383">
        <f>'Table 7 Local Revenue'!AQ30</f>
        <v>45029869</v>
      </c>
      <c r="Z30" s="383">
        <f t="shared" si="34"/>
        <v>24551714</v>
      </c>
      <c r="AA30" s="280">
        <f t="shared" si="35"/>
        <v>0</v>
      </c>
      <c r="AB30" s="14">
        <f t="shared" si="36"/>
        <v>24186609.240000002</v>
      </c>
      <c r="AC30" s="14">
        <f t="shared" si="37"/>
        <v>24186609.240000002</v>
      </c>
      <c r="AD30" s="383">
        <f t="shared" si="38"/>
        <v>11976918.65633712</v>
      </c>
      <c r="AE30" s="387">
        <f t="shared" si="39"/>
        <v>12209690.583662882</v>
      </c>
      <c r="AF30" s="16">
        <f t="shared" si="40"/>
        <v>0.50480000000000003</v>
      </c>
      <c r="AG30" s="387">
        <f t="shared" si="41"/>
        <v>62868621.583662882</v>
      </c>
      <c r="AH30" s="14">
        <f t="shared" si="20"/>
        <v>4682</v>
      </c>
      <c r="AI30" s="387">
        <f>'Table 4 Level 3'!O28</f>
        <v>2204544</v>
      </c>
      <c r="AJ30" s="14">
        <f t="shared" si="21"/>
        <v>164.1751563896336</v>
      </c>
      <c r="AK30" s="387">
        <f t="shared" si="42"/>
        <v>65073165.583662882</v>
      </c>
      <c r="AL30" s="14">
        <f t="shared" si="22"/>
        <v>4846.0802490067681</v>
      </c>
      <c r="AM30" s="505">
        <f>'Table 4 Level 3'!R28</f>
        <v>11450796.24</v>
      </c>
      <c r="AN30" s="506">
        <f t="shared" si="23"/>
        <v>852.75515638963361</v>
      </c>
      <c r="AO30" s="387">
        <f t="shared" si="43"/>
        <v>74319417.823662877</v>
      </c>
      <c r="AP30" s="14">
        <f t="shared" si="24"/>
        <v>5534.660249006768</v>
      </c>
      <c r="AQ30" s="16">
        <f t="shared" si="44"/>
        <v>0.62461594923515151</v>
      </c>
      <c r="AR30" s="388">
        <f t="shared" si="45"/>
        <v>37</v>
      </c>
      <c r="AS30" s="14">
        <f t="shared" si="46"/>
        <v>44664764.240000002</v>
      </c>
      <c r="AT30" s="14">
        <f t="shared" si="25"/>
        <v>3326.24</v>
      </c>
      <c r="AU30" s="388">
        <f t="shared" si="47"/>
        <v>34</v>
      </c>
      <c r="AV30" s="16">
        <f t="shared" si="48"/>
        <v>0.37538405076484849</v>
      </c>
      <c r="AW30" s="388">
        <f t="shared" si="49"/>
        <v>118984182.06366289</v>
      </c>
      <c r="AX30" s="389">
        <f t="shared" si="26"/>
        <v>8860.9012558581235</v>
      </c>
      <c r="AY30" s="388">
        <f t="shared" si="50"/>
        <v>33</v>
      </c>
      <c r="AZ30" s="1212">
        <v>73478072.15730764</v>
      </c>
      <c r="BA30" s="280">
        <f t="shared" si="51"/>
        <v>841345.66635523736</v>
      </c>
      <c r="BB30" s="1872"/>
      <c r="BC30" s="347"/>
      <c r="BD30" s="347"/>
      <c r="BE30" s="347"/>
      <c r="BF30" s="347"/>
      <c r="BG30" s="347"/>
      <c r="BH30" s="347"/>
      <c r="BI30" s="347"/>
      <c r="BJ30" s="347"/>
      <c r="BK30" s="347"/>
      <c r="BL30" s="168"/>
      <c r="BM30" s="168"/>
      <c r="BN30" s="1899"/>
      <c r="BO30" s="168"/>
      <c r="BP30" s="168"/>
      <c r="BQ30" s="1881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</row>
    <row r="31" spans="1:149" s="5" customFormat="1">
      <c r="A31" s="101">
        <v>24</v>
      </c>
      <c r="B31" s="81" t="s">
        <v>116</v>
      </c>
      <c r="C31" s="81">
        <f>'2-1-13 SIS'!S30</f>
        <v>4512</v>
      </c>
      <c r="D31" s="81">
        <f>'[3]2-1-13-Supreme Court Ruling'!AE29</f>
        <v>3734</v>
      </c>
      <c r="E31" s="81">
        <f t="shared" si="12"/>
        <v>821</v>
      </c>
      <c r="F31" s="81">
        <f>'[4]CTE-Oct 2012-Supreme Court'!AC30</f>
        <v>1153.5</v>
      </c>
      <c r="G31" s="81">
        <f t="shared" si="13"/>
        <v>69</v>
      </c>
      <c r="H31" s="1287">
        <f>'[5]SWD 2-1-13 Supreme Court'!Z29</f>
        <v>430</v>
      </c>
      <c r="I31" s="1287">
        <f t="shared" si="27"/>
        <v>645</v>
      </c>
      <c r="J31" s="1287">
        <f>'[6]GT_PS-12th Supreme Court'!T28</f>
        <v>116</v>
      </c>
      <c r="K31" s="1287">
        <f t="shared" si="28"/>
        <v>69.599999999999994</v>
      </c>
      <c r="L31" s="13">
        <f t="shared" si="14"/>
        <v>2988</v>
      </c>
      <c r="M31" s="65">
        <f t="shared" si="15"/>
        <v>7.9680000000000001E-2</v>
      </c>
      <c r="N31" s="13">
        <f t="shared" si="16"/>
        <v>360</v>
      </c>
      <c r="O31" s="13">
        <f t="shared" si="29"/>
        <v>1964.6</v>
      </c>
      <c r="P31" s="13">
        <f t="shared" si="17"/>
        <v>6476.6</v>
      </c>
      <c r="Q31" s="383">
        <f t="shared" si="30"/>
        <v>3855</v>
      </c>
      <c r="R31" s="383">
        <f t="shared" si="18"/>
        <v>24967293</v>
      </c>
      <c r="S31" s="383">
        <f>'Table 6 (Local Deduct Calc.)'!J32</f>
        <v>14831671</v>
      </c>
      <c r="T31" s="383">
        <f t="shared" si="31"/>
        <v>14831671</v>
      </c>
      <c r="U31" s="384">
        <f t="shared" si="32"/>
        <v>10135622</v>
      </c>
      <c r="V31" s="385">
        <f t="shared" si="52"/>
        <v>0.40600000000000003</v>
      </c>
      <c r="W31" s="385">
        <f t="shared" si="33"/>
        <v>0.59399999999999997</v>
      </c>
      <c r="X31" s="386">
        <f t="shared" si="19"/>
        <v>3287.161125886525</v>
      </c>
      <c r="Y31" s="383">
        <f>'Table 7 Local Revenue'!AQ31</f>
        <v>42587087</v>
      </c>
      <c r="Z31" s="383">
        <f t="shared" si="34"/>
        <v>27755416</v>
      </c>
      <c r="AA31" s="280">
        <f t="shared" si="35"/>
        <v>0</v>
      </c>
      <c r="AB31" s="14">
        <f t="shared" si="36"/>
        <v>8488879.620000001</v>
      </c>
      <c r="AC31" s="14">
        <f t="shared" si="37"/>
        <v>8488879.620000001</v>
      </c>
      <c r="AD31" s="383">
        <f t="shared" si="38"/>
        <v>8672918.5301616006</v>
      </c>
      <c r="AE31" s="387">
        <f t="shared" si="39"/>
        <v>0</v>
      </c>
      <c r="AF31" s="16">
        <f t="shared" si="40"/>
        <v>0</v>
      </c>
      <c r="AG31" s="387">
        <f t="shared" si="41"/>
        <v>10135622</v>
      </c>
      <c r="AH31" s="14">
        <f t="shared" si="20"/>
        <v>2246</v>
      </c>
      <c r="AI31" s="387">
        <f>'Table 4 Level 3'!O29</f>
        <v>2336095</v>
      </c>
      <c r="AJ31" s="14">
        <f t="shared" si="21"/>
        <v>517.7515514184397</v>
      </c>
      <c r="AK31" s="387">
        <f t="shared" si="42"/>
        <v>12471717</v>
      </c>
      <c r="AL31" s="14">
        <f t="shared" si="22"/>
        <v>2764.1216755319151</v>
      </c>
      <c r="AM31" s="505">
        <f>'Table 4 Level 3'!R29</f>
        <v>6190471</v>
      </c>
      <c r="AN31" s="506">
        <f t="shared" si="23"/>
        <v>1372.0015514184397</v>
      </c>
      <c r="AO31" s="387">
        <f t="shared" si="43"/>
        <v>16326093</v>
      </c>
      <c r="AP31" s="14">
        <f t="shared" si="24"/>
        <v>3618.3716755319151</v>
      </c>
      <c r="AQ31" s="16">
        <f t="shared" si="44"/>
        <v>0.41179004095479593</v>
      </c>
      <c r="AR31" s="388">
        <f t="shared" si="45"/>
        <v>62</v>
      </c>
      <c r="AS31" s="14">
        <f t="shared" si="46"/>
        <v>23320550.620000001</v>
      </c>
      <c r="AT31" s="14">
        <f t="shared" si="25"/>
        <v>5168.5600000000004</v>
      </c>
      <c r="AU31" s="388">
        <f t="shared" si="47"/>
        <v>8</v>
      </c>
      <c r="AV31" s="16">
        <f t="shared" si="48"/>
        <v>0.58820995904520401</v>
      </c>
      <c r="AW31" s="388">
        <f t="shared" si="49"/>
        <v>39646643.620000005</v>
      </c>
      <c r="AX31" s="389">
        <f t="shared" si="26"/>
        <v>8786.9334264184399</v>
      </c>
      <c r="AY31" s="388">
        <f t="shared" si="50"/>
        <v>37</v>
      </c>
      <c r="AZ31" s="1212">
        <v>15693690.5</v>
      </c>
      <c r="BA31" s="280">
        <f t="shared" si="51"/>
        <v>632402.5</v>
      </c>
      <c r="BB31" s="1872"/>
      <c r="BC31" s="347"/>
      <c r="BD31" s="347"/>
      <c r="BE31" s="347"/>
      <c r="BF31" s="347"/>
      <c r="BG31" s="347"/>
      <c r="BH31" s="347"/>
      <c r="BI31" s="347"/>
      <c r="BJ31" s="347"/>
      <c r="BK31" s="347"/>
      <c r="BL31" s="168"/>
      <c r="BM31" s="168"/>
      <c r="BN31" s="1899"/>
      <c r="BO31" s="168"/>
      <c r="BP31" s="168"/>
      <c r="BQ31" s="188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</row>
    <row r="32" spans="1:149" s="21" customFormat="1">
      <c r="A32" s="102">
        <v>25</v>
      </c>
      <c r="B32" s="82" t="s">
        <v>117</v>
      </c>
      <c r="C32" s="82">
        <f>'2-1-13 SIS'!S31</f>
        <v>2223</v>
      </c>
      <c r="D32" s="82">
        <f>'[3]2-1-13-Supreme Court Ruling'!AE30</f>
        <v>1403</v>
      </c>
      <c r="E32" s="82">
        <f t="shared" si="12"/>
        <v>309</v>
      </c>
      <c r="F32" s="82">
        <f>'[4]CTE-Oct 2012-Supreme Court'!AC31</f>
        <v>1241.5</v>
      </c>
      <c r="G32" s="82">
        <f t="shared" si="13"/>
        <v>74</v>
      </c>
      <c r="H32" s="82">
        <f>'[5]SWD 2-1-13 Supreme Court'!Z30</f>
        <v>215</v>
      </c>
      <c r="I32" s="82">
        <f t="shared" si="27"/>
        <v>322.5</v>
      </c>
      <c r="J32" s="82">
        <f>'[6]GT_PS-12th Supreme Court'!T29</f>
        <v>86</v>
      </c>
      <c r="K32" s="82">
        <f t="shared" si="28"/>
        <v>51.6</v>
      </c>
      <c r="L32" s="19">
        <f t="shared" si="14"/>
        <v>5277</v>
      </c>
      <c r="M32" s="66">
        <f t="shared" si="15"/>
        <v>0.14072000000000001</v>
      </c>
      <c r="N32" s="19">
        <f t="shared" si="16"/>
        <v>313</v>
      </c>
      <c r="O32" s="19">
        <f t="shared" si="29"/>
        <v>1070.0999999999999</v>
      </c>
      <c r="P32" s="13">
        <f t="shared" si="17"/>
        <v>3293.1</v>
      </c>
      <c r="Q32" s="390">
        <f t="shared" si="30"/>
        <v>3855</v>
      </c>
      <c r="R32" s="390">
        <f t="shared" si="18"/>
        <v>12694901</v>
      </c>
      <c r="S32" s="390">
        <f>'Table 6 (Local Deduct Calc.)'!J33</f>
        <v>5518478</v>
      </c>
      <c r="T32" s="390">
        <f t="shared" si="31"/>
        <v>5518478</v>
      </c>
      <c r="U32" s="391">
        <f t="shared" si="32"/>
        <v>7176423</v>
      </c>
      <c r="V32" s="392">
        <f t="shared" si="52"/>
        <v>0.56530000000000002</v>
      </c>
      <c r="W32" s="393">
        <f t="shared" si="33"/>
        <v>0.43469999999999998</v>
      </c>
      <c r="X32" s="394">
        <f t="shared" si="19"/>
        <v>2482.4462438146647</v>
      </c>
      <c r="Y32" s="390">
        <f>'Table 7 Local Revenue'!AQ32</f>
        <v>12036124</v>
      </c>
      <c r="Z32" s="390">
        <f t="shared" si="34"/>
        <v>6517646</v>
      </c>
      <c r="AA32" s="281">
        <f t="shared" si="35"/>
        <v>0</v>
      </c>
      <c r="AB32" s="20">
        <f t="shared" si="36"/>
        <v>4316266.34</v>
      </c>
      <c r="AC32" s="20">
        <f t="shared" si="37"/>
        <v>4316266.34</v>
      </c>
      <c r="AD32" s="390">
        <f t="shared" si="38"/>
        <v>3227203.2821565596</v>
      </c>
      <c r="AE32" s="395">
        <f t="shared" si="39"/>
        <v>1089063.0578434402</v>
      </c>
      <c r="AF32" s="274">
        <f t="shared" si="40"/>
        <v>0.25230000000000002</v>
      </c>
      <c r="AG32" s="395">
        <f t="shared" si="41"/>
        <v>8265486.0578434402</v>
      </c>
      <c r="AH32" s="20">
        <f t="shared" si="20"/>
        <v>3718</v>
      </c>
      <c r="AI32" s="395">
        <f>'Table 4 Level 3'!O30</f>
        <v>331851</v>
      </c>
      <c r="AJ32" s="20">
        <f t="shared" si="21"/>
        <v>149.28070175438597</v>
      </c>
      <c r="AK32" s="395">
        <f t="shared" si="42"/>
        <v>8597337.0578434393</v>
      </c>
      <c r="AL32" s="20">
        <f t="shared" si="22"/>
        <v>3867.4480692053257</v>
      </c>
      <c r="AM32" s="507">
        <f>'Table 4 Level 3'!R30</f>
        <v>1785092.79</v>
      </c>
      <c r="AN32" s="508">
        <f t="shared" si="23"/>
        <v>803.01070175438599</v>
      </c>
      <c r="AO32" s="395">
        <f t="shared" si="43"/>
        <v>10050578.84784344</v>
      </c>
      <c r="AP32" s="20">
        <f t="shared" si="24"/>
        <v>4521.1780692053262</v>
      </c>
      <c r="AQ32" s="274">
        <f t="shared" si="44"/>
        <v>0.50542698013516285</v>
      </c>
      <c r="AR32" s="396">
        <f t="shared" si="45"/>
        <v>55</v>
      </c>
      <c r="AS32" s="20">
        <f t="shared" si="46"/>
        <v>9834744.3399999999</v>
      </c>
      <c r="AT32" s="20">
        <f t="shared" si="25"/>
        <v>4424.09</v>
      </c>
      <c r="AU32" s="396">
        <f t="shared" si="47"/>
        <v>14</v>
      </c>
      <c r="AV32" s="274">
        <f t="shared" si="48"/>
        <v>0.49457301986483709</v>
      </c>
      <c r="AW32" s="396">
        <f t="shared" si="49"/>
        <v>19885323.187843442</v>
      </c>
      <c r="AX32" s="397">
        <f t="shared" si="26"/>
        <v>8945.264591922376</v>
      </c>
      <c r="AY32" s="396">
        <f t="shared" si="50"/>
        <v>27</v>
      </c>
      <c r="AZ32" s="1213">
        <v>10021593.643958</v>
      </c>
      <c r="BA32" s="281">
        <f t="shared" si="51"/>
        <v>28985.203885439783</v>
      </c>
      <c r="BB32" s="1876"/>
      <c r="BC32" s="347"/>
      <c r="BD32" s="347"/>
      <c r="BE32" s="347"/>
      <c r="BF32" s="347"/>
      <c r="BG32" s="347"/>
      <c r="BH32" s="347"/>
      <c r="BI32" s="347"/>
      <c r="BJ32" s="347"/>
      <c r="BK32" s="347"/>
      <c r="BL32" s="168"/>
      <c r="BM32" s="168"/>
      <c r="BN32" s="1899"/>
      <c r="BO32" s="168"/>
      <c r="BP32" s="168"/>
      <c r="BQ32" s="188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</row>
    <row r="33" spans="1:149" s="5" customFormat="1">
      <c r="A33" s="101">
        <v>26</v>
      </c>
      <c r="B33" s="81" t="s">
        <v>118</v>
      </c>
      <c r="C33" s="81">
        <f>'2-1-13 SIS'!S32</f>
        <v>43994</v>
      </c>
      <c r="D33" s="81">
        <f>'[3]2-1-13-Supreme Court Ruling'!AE31</f>
        <v>34549</v>
      </c>
      <c r="E33" s="81">
        <f t="shared" si="12"/>
        <v>7601</v>
      </c>
      <c r="F33" s="81">
        <f>'[4]CTE-Oct 2012-Supreme Court'!AC32</f>
        <v>12635</v>
      </c>
      <c r="G33" s="81">
        <f t="shared" si="13"/>
        <v>758</v>
      </c>
      <c r="H33" s="1287">
        <f>'[5]SWD 2-1-13 Supreme Court'!Z31</f>
        <v>5343</v>
      </c>
      <c r="I33" s="1287">
        <f t="shared" si="27"/>
        <v>8014.5</v>
      </c>
      <c r="J33" s="1287">
        <f>'[6]GT_PS-12th Supreme Court'!T30</f>
        <v>3456</v>
      </c>
      <c r="K33" s="1287">
        <f t="shared" si="28"/>
        <v>2073.6</v>
      </c>
      <c r="L33" s="13">
        <f t="shared" si="14"/>
        <v>0</v>
      </c>
      <c r="M33" s="65">
        <f t="shared" si="15"/>
        <v>0</v>
      </c>
      <c r="N33" s="13">
        <f t="shared" si="16"/>
        <v>0</v>
      </c>
      <c r="O33" s="13">
        <f t="shared" si="29"/>
        <v>18447.099999999999</v>
      </c>
      <c r="P33" s="36">
        <f t="shared" si="17"/>
        <v>62441.1</v>
      </c>
      <c r="Q33" s="383">
        <f t="shared" si="30"/>
        <v>3855</v>
      </c>
      <c r="R33" s="383">
        <f t="shared" si="18"/>
        <v>240710441</v>
      </c>
      <c r="S33" s="383">
        <f>'Table 6 (Local Deduct Calc.)'!J34</f>
        <v>125984793</v>
      </c>
      <c r="T33" s="383">
        <f t="shared" si="31"/>
        <v>125984793</v>
      </c>
      <c r="U33" s="384">
        <f t="shared" si="32"/>
        <v>114725648</v>
      </c>
      <c r="V33" s="385">
        <f t="shared" si="52"/>
        <v>0.47660000000000002</v>
      </c>
      <c r="W33" s="385">
        <f t="shared" si="33"/>
        <v>0.52339999999999998</v>
      </c>
      <c r="X33" s="386">
        <f t="shared" si="19"/>
        <v>2863.6812519889077</v>
      </c>
      <c r="Y33" s="383">
        <f>'Table 7 Local Revenue'!AQ33</f>
        <v>247091005</v>
      </c>
      <c r="Z33" s="383">
        <f t="shared" si="34"/>
        <v>121106212</v>
      </c>
      <c r="AA33" s="280">
        <f t="shared" si="35"/>
        <v>0</v>
      </c>
      <c r="AB33" s="14">
        <f t="shared" si="36"/>
        <v>81841549.940000013</v>
      </c>
      <c r="AC33" s="14">
        <f t="shared" si="37"/>
        <v>81841549.940000013</v>
      </c>
      <c r="AD33" s="383">
        <f t="shared" si="38"/>
        <v>73677691.650385126</v>
      </c>
      <c r="AE33" s="387">
        <f t="shared" si="39"/>
        <v>8163858.289614886</v>
      </c>
      <c r="AF33" s="16">
        <f t="shared" si="40"/>
        <v>9.98E-2</v>
      </c>
      <c r="AG33" s="387">
        <f t="shared" si="41"/>
        <v>122889506.28961489</v>
      </c>
      <c r="AH33" s="14">
        <f t="shared" si="20"/>
        <v>2793</v>
      </c>
      <c r="AI33" s="387">
        <f>'Table 4 Level 3'!O31</f>
        <v>22003920</v>
      </c>
      <c r="AJ33" s="14">
        <f t="shared" si="21"/>
        <v>500.15729417647862</v>
      </c>
      <c r="AK33" s="387">
        <f t="shared" si="42"/>
        <v>144893426.28961489</v>
      </c>
      <c r="AL33" s="14">
        <f t="shared" si="22"/>
        <v>3293.481526790355</v>
      </c>
      <c r="AM33" s="505">
        <f>'Table 4 Level 3'!R31</f>
        <v>58819419.020000003</v>
      </c>
      <c r="AN33" s="506">
        <f t="shared" si="23"/>
        <v>1336.9872941764786</v>
      </c>
      <c r="AO33" s="387">
        <f t="shared" si="43"/>
        <v>181708925.3096149</v>
      </c>
      <c r="AP33" s="14">
        <f t="shared" si="24"/>
        <v>4130.3115267903559</v>
      </c>
      <c r="AQ33" s="16">
        <f t="shared" si="44"/>
        <v>0.46647618359725901</v>
      </c>
      <c r="AR33" s="388">
        <f t="shared" si="45"/>
        <v>60</v>
      </c>
      <c r="AS33" s="14">
        <f t="shared" si="46"/>
        <v>207826342.94</v>
      </c>
      <c r="AT33" s="14">
        <f t="shared" si="25"/>
        <v>4723.97</v>
      </c>
      <c r="AU33" s="388">
        <f t="shared" si="47"/>
        <v>11</v>
      </c>
      <c r="AV33" s="16">
        <f t="shared" si="48"/>
        <v>0.53352381640274094</v>
      </c>
      <c r="AW33" s="388">
        <f t="shared" si="49"/>
        <v>389535268.24961489</v>
      </c>
      <c r="AX33" s="389">
        <f t="shared" si="26"/>
        <v>8854.2816804476715</v>
      </c>
      <c r="AY33" s="388">
        <f t="shared" si="50"/>
        <v>34</v>
      </c>
      <c r="AZ33" s="1212">
        <v>176566962.57102656</v>
      </c>
      <c r="BA33" s="280">
        <f t="shared" si="51"/>
        <v>5141962.7385883331</v>
      </c>
      <c r="BB33" s="1873"/>
      <c r="BC33" s="347"/>
      <c r="BD33" s="347"/>
      <c r="BE33" s="347"/>
      <c r="BF33" s="347"/>
      <c r="BG33" s="347"/>
      <c r="BH33" s="347"/>
      <c r="BI33" s="347"/>
      <c r="BJ33" s="347"/>
      <c r="BK33" s="347"/>
      <c r="BL33" s="168"/>
      <c r="BM33" s="168"/>
      <c r="BN33" s="1899"/>
      <c r="BO33" s="168"/>
      <c r="BP33" s="168"/>
      <c r="BQ33" s="1881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</row>
    <row r="34" spans="1:149" s="5" customFormat="1">
      <c r="A34" s="101">
        <v>27</v>
      </c>
      <c r="B34" s="81" t="s">
        <v>119</v>
      </c>
      <c r="C34" s="81">
        <f>'2-1-13 SIS'!S33</f>
        <v>5614</v>
      </c>
      <c r="D34" s="81">
        <f>'[3]2-1-13-Supreme Court Ruling'!AE32</f>
        <v>3354</v>
      </c>
      <c r="E34" s="81">
        <f t="shared" si="12"/>
        <v>738</v>
      </c>
      <c r="F34" s="81">
        <f>'[4]CTE-Oct 2012-Supreme Court'!AC33</f>
        <v>2317.5</v>
      </c>
      <c r="G34" s="81">
        <f t="shared" si="13"/>
        <v>139</v>
      </c>
      <c r="H34" s="1287">
        <f>'[5]SWD 2-1-13 Supreme Court'!Z32</f>
        <v>804</v>
      </c>
      <c r="I34" s="1287">
        <f t="shared" si="27"/>
        <v>1206</v>
      </c>
      <c r="J34" s="1287">
        <f>'[6]GT_PS-12th Supreme Court'!T31</f>
        <v>143</v>
      </c>
      <c r="K34" s="1287">
        <f t="shared" si="28"/>
        <v>85.8</v>
      </c>
      <c r="L34" s="13">
        <f t="shared" si="14"/>
        <v>1886</v>
      </c>
      <c r="M34" s="65">
        <f t="shared" si="15"/>
        <v>5.0290000000000001E-2</v>
      </c>
      <c r="N34" s="13">
        <f t="shared" si="16"/>
        <v>282</v>
      </c>
      <c r="O34" s="13">
        <f t="shared" si="29"/>
        <v>2450.8000000000002</v>
      </c>
      <c r="P34" s="13">
        <f t="shared" si="17"/>
        <v>8064.8</v>
      </c>
      <c r="Q34" s="383">
        <f t="shared" si="30"/>
        <v>3855</v>
      </c>
      <c r="R34" s="383">
        <f t="shared" si="18"/>
        <v>31089804</v>
      </c>
      <c r="S34" s="383">
        <f>'Table 6 (Local Deduct Calc.)'!J35</f>
        <v>6692104.5</v>
      </c>
      <c r="T34" s="383">
        <f t="shared" si="31"/>
        <v>6692104.5</v>
      </c>
      <c r="U34" s="384">
        <f t="shared" si="32"/>
        <v>24397699.5</v>
      </c>
      <c r="V34" s="385">
        <f t="shared" si="52"/>
        <v>0.78469999999999995</v>
      </c>
      <c r="W34" s="385">
        <f t="shared" si="33"/>
        <v>0.21529999999999999</v>
      </c>
      <c r="X34" s="386">
        <f t="shared" si="19"/>
        <v>1192.038564303527</v>
      </c>
      <c r="Y34" s="383">
        <f>'Table 7 Local Revenue'!AQ34</f>
        <v>17888658.5</v>
      </c>
      <c r="Z34" s="383">
        <f t="shared" si="34"/>
        <v>11196554</v>
      </c>
      <c r="AA34" s="280">
        <f t="shared" si="35"/>
        <v>0</v>
      </c>
      <c r="AB34" s="14">
        <f t="shared" si="36"/>
        <v>10570533.360000001</v>
      </c>
      <c r="AC34" s="14">
        <f t="shared" si="37"/>
        <v>10570533.360000001</v>
      </c>
      <c r="AD34" s="383">
        <f t="shared" si="38"/>
        <v>3914437.6317417603</v>
      </c>
      <c r="AE34" s="387">
        <f t="shared" si="39"/>
        <v>6656095.728258241</v>
      </c>
      <c r="AF34" s="16">
        <f t="shared" si="40"/>
        <v>0.62970000000000004</v>
      </c>
      <c r="AG34" s="387">
        <f t="shared" si="41"/>
        <v>31053795.228258241</v>
      </c>
      <c r="AH34" s="14">
        <f t="shared" si="20"/>
        <v>5531</v>
      </c>
      <c r="AI34" s="387">
        <f>'Table 4 Level 3'!O32</f>
        <v>838063</v>
      </c>
      <c r="AJ34" s="14">
        <f t="shared" si="21"/>
        <v>149.2809048806555</v>
      </c>
      <c r="AK34" s="387">
        <f t="shared" si="42"/>
        <v>31891858.228258241</v>
      </c>
      <c r="AL34" s="14">
        <f t="shared" si="22"/>
        <v>5680.7727517381973</v>
      </c>
      <c r="AM34" s="505">
        <f>'Table 4 Level 3'!R32</f>
        <v>4728901.84</v>
      </c>
      <c r="AN34" s="506">
        <f t="shared" si="23"/>
        <v>842.34090488065544</v>
      </c>
      <c r="AO34" s="387">
        <f t="shared" si="43"/>
        <v>35782697.068258241</v>
      </c>
      <c r="AP34" s="14">
        <f t="shared" si="24"/>
        <v>6373.8327517381977</v>
      </c>
      <c r="AQ34" s="16">
        <f t="shared" si="44"/>
        <v>0.67456821823545754</v>
      </c>
      <c r="AR34" s="388">
        <f t="shared" si="45"/>
        <v>25</v>
      </c>
      <c r="AS34" s="14">
        <f t="shared" si="46"/>
        <v>17262637.859999999</v>
      </c>
      <c r="AT34" s="14">
        <f t="shared" si="25"/>
        <v>3074.93</v>
      </c>
      <c r="AU34" s="388">
        <f t="shared" si="47"/>
        <v>40</v>
      </c>
      <c r="AV34" s="16">
        <f t="shared" si="48"/>
        <v>0.32543178176454252</v>
      </c>
      <c r="AW34" s="388">
        <f t="shared" si="49"/>
        <v>53045334.92825824</v>
      </c>
      <c r="AX34" s="389">
        <f t="shared" si="26"/>
        <v>9448.7593388418663</v>
      </c>
      <c r="AY34" s="388">
        <f t="shared" si="50"/>
        <v>12</v>
      </c>
      <c r="AZ34" s="1212">
        <v>35629107.845807999</v>
      </c>
      <c r="BA34" s="280">
        <f t="shared" si="51"/>
        <v>153589.22245024145</v>
      </c>
      <c r="BB34" s="1872"/>
      <c r="BC34" s="347"/>
      <c r="BD34" s="347"/>
      <c r="BE34" s="347"/>
      <c r="BF34" s="347"/>
      <c r="BG34" s="347"/>
      <c r="BH34" s="347"/>
      <c r="BI34" s="347"/>
      <c r="BJ34" s="347"/>
      <c r="BK34" s="347"/>
      <c r="BL34" s="168"/>
      <c r="BM34" s="168"/>
      <c r="BN34" s="1899"/>
      <c r="BO34" s="168"/>
      <c r="BP34" s="168"/>
      <c r="BQ34" s="1881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</row>
    <row r="35" spans="1:149" s="5" customFormat="1">
      <c r="A35" s="101">
        <v>28</v>
      </c>
      <c r="B35" s="81" t="s">
        <v>120</v>
      </c>
      <c r="C35" s="81">
        <f>'2-1-13 SIS'!S34</f>
        <v>30011</v>
      </c>
      <c r="D35" s="81">
        <f>'[3]2-1-13-Supreme Court Ruling'!AE33</f>
        <v>18378</v>
      </c>
      <c r="E35" s="81">
        <f t="shared" si="12"/>
        <v>4043</v>
      </c>
      <c r="F35" s="81">
        <f>'[4]CTE-Oct 2012-Supreme Court'!AC34</f>
        <v>6269</v>
      </c>
      <c r="G35" s="81">
        <f t="shared" si="13"/>
        <v>376</v>
      </c>
      <c r="H35" s="1287">
        <f>'[5]SWD 2-1-13 Supreme Court'!Z33</f>
        <v>2748</v>
      </c>
      <c r="I35" s="1287">
        <f t="shared" si="27"/>
        <v>4122</v>
      </c>
      <c r="J35" s="1287">
        <f>'[6]GT_PS-12th Supreme Court'!T32</f>
        <v>1336</v>
      </c>
      <c r="K35" s="1287">
        <f t="shared" si="28"/>
        <v>801.6</v>
      </c>
      <c r="L35" s="13">
        <f t="shared" si="14"/>
        <v>0</v>
      </c>
      <c r="M35" s="65">
        <f t="shared" si="15"/>
        <v>0</v>
      </c>
      <c r="N35" s="13">
        <f t="shared" si="16"/>
        <v>0</v>
      </c>
      <c r="O35" s="13">
        <f t="shared" si="29"/>
        <v>9342.6</v>
      </c>
      <c r="P35" s="13">
        <f t="shared" si="17"/>
        <v>39353.599999999999</v>
      </c>
      <c r="Q35" s="383">
        <f t="shared" si="30"/>
        <v>3855</v>
      </c>
      <c r="R35" s="383">
        <f t="shared" si="18"/>
        <v>151708128</v>
      </c>
      <c r="S35" s="383">
        <f>'Table 6 (Local Deduct Calc.)'!J36</f>
        <v>73026174.5</v>
      </c>
      <c r="T35" s="383">
        <f t="shared" si="31"/>
        <v>73026174.5</v>
      </c>
      <c r="U35" s="384">
        <f t="shared" si="32"/>
        <v>78681953.5</v>
      </c>
      <c r="V35" s="385">
        <f t="shared" si="52"/>
        <v>0.51859999999999995</v>
      </c>
      <c r="W35" s="385">
        <f t="shared" si="33"/>
        <v>0.48139999999999999</v>
      </c>
      <c r="X35" s="386">
        <f t="shared" si="19"/>
        <v>2433.3136016793842</v>
      </c>
      <c r="Y35" s="383">
        <f>'Table 7 Local Revenue'!AQ35</f>
        <v>161907661.5</v>
      </c>
      <c r="Z35" s="383">
        <f t="shared" si="34"/>
        <v>88881487</v>
      </c>
      <c r="AA35" s="280">
        <f t="shared" si="35"/>
        <v>0</v>
      </c>
      <c r="AB35" s="14">
        <f t="shared" si="36"/>
        <v>51580763.520000003</v>
      </c>
      <c r="AC35" s="14">
        <f t="shared" si="37"/>
        <v>51580763.520000003</v>
      </c>
      <c r="AD35" s="383">
        <f t="shared" si="38"/>
        <v>42709284.840668164</v>
      </c>
      <c r="AE35" s="387">
        <f t="shared" si="39"/>
        <v>8871478.6793318391</v>
      </c>
      <c r="AF35" s="16">
        <f t="shared" si="40"/>
        <v>0.17199999999999999</v>
      </c>
      <c r="AG35" s="387">
        <f t="shared" si="41"/>
        <v>87553432.179331839</v>
      </c>
      <c r="AH35" s="14">
        <f t="shared" si="20"/>
        <v>2917</v>
      </c>
      <c r="AI35" s="387">
        <f>'Table 4 Level 3'!O33</f>
        <v>7376446</v>
      </c>
      <c r="AJ35" s="14">
        <f t="shared" si="21"/>
        <v>245.79140981640066</v>
      </c>
      <c r="AK35" s="387">
        <f t="shared" si="42"/>
        <v>94929878.179331839</v>
      </c>
      <c r="AL35" s="14">
        <f t="shared" si="22"/>
        <v>3163.1694438483169</v>
      </c>
      <c r="AM35" s="505">
        <f>'Table 4 Level 3'!R33</f>
        <v>28216084.399999999</v>
      </c>
      <c r="AN35" s="506">
        <f t="shared" si="23"/>
        <v>940.19140981640055</v>
      </c>
      <c r="AO35" s="387">
        <f t="shared" si="43"/>
        <v>115769516.57933185</v>
      </c>
      <c r="AP35" s="14">
        <f t="shared" si="24"/>
        <v>3857.569443848317</v>
      </c>
      <c r="AQ35" s="16">
        <f t="shared" si="44"/>
        <v>0.48161753933970219</v>
      </c>
      <c r="AR35" s="388">
        <f t="shared" si="45"/>
        <v>58</v>
      </c>
      <c r="AS35" s="14">
        <f t="shared" si="46"/>
        <v>124606938.02</v>
      </c>
      <c r="AT35" s="14">
        <f t="shared" si="25"/>
        <v>4152.04</v>
      </c>
      <c r="AU35" s="388">
        <f t="shared" si="47"/>
        <v>17</v>
      </c>
      <c r="AV35" s="16">
        <f t="shared" si="48"/>
        <v>0.51838246066029781</v>
      </c>
      <c r="AW35" s="388">
        <f t="shared" si="49"/>
        <v>240376454.59933186</v>
      </c>
      <c r="AX35" s="389">
        <f t="shared" si="26"/>
        <v>8009.6116290470782</v>
      </c>
      <c r="AY35" s="388">
        <f t="shared" si="50"/>
        <v>64</v>
      </c>
      <c r="AZ35" s="1212">
        <v>115475573.66581</v>
      </c>
      <c r="BA35" s="280">
        <f t="shared" si="51"/>
        <v>293942.91352184117</v>
      </c>
      <c r="BB35" s="1872"/>
      <c r="BC35" s="347"/>
      <c r="BD35" s="347"/>
      <c r="BE35" s="347"/>
      <c r="BF35" s="347"/>
      <c r="BG35" s="347"/>
      <c r="BH35" s="347"/>
      <c r="BI35" s="347"/>
      <c r="BJ35" s="347"/>
      <c r="BK35" s="347"/>
      <c r="BL35" s="168"/>
      <c r="BM35" s="168"/>
      <c r="BN35" s="1899"/>
      <c r="BO35" s="168"/>
      <c r="BP35" s="168"/>
      <c r="BQ35" s="1881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</row>
    <row r="36" spans="1:149" s="5" customFormat="1">
      <c r="A36" s="101">
        <v>29</v>
      </c>
      <c r="B36" s="81" t="s">
        <v>121</v>
      </c>
      <c r="C36" s="81">
        <f>'2-1-13 SIS'!S35</f>
        <v>13679</v>
      </c>
      <c r="D36" s="81">
        <f>'[3]2-1-13-Supreme Court Ruling'!AE34</f>
        <v>8281</v>
      </c>
      <c r="E36" s="81">
        <f t="shared" si="12"/>
        <v>1822</v>
      </c>
      <c r="F36" s="81">
        <f>'[4]CTE-Oct 2012-Supreme Court'!AC35</f>
        <v>5750.5</v>
      </c>
      <c r="G36" s="81">
        <f t="shared" si="13"/>
        <v>345</v>
      </c>
      <c r="H36" s="1287">
        <f>'[5]SWD 2-1-13 Supreme Court'!Z34</f>
        <v>1121</v>
      </c>
      <c r="I36" s="1287">
        <f t="shared" si="27"/>
        <v>1681.5</v>
      </c>
      <c r="J36" s="1287">
        <f>'[6]GT_PS-12th Supreme Court'!T33</f>
        <v>217</v>
      </c>
      <c r="K36" s="1287">
        <f t="shared" si="28"/>
        <v>130.19999999999999</v>
      </c>
      <c r="L36" s="13">
        <f t="shared" si="14"/>
        <v>0</v>
      </c>
      <c r="M36" s="65">
        <f t="shared" si="15"/>
        <v>0</v>
      </c>
      <c r="N36" s="13">
        <f t="shared" si="16"/>
        <v>0</v>
      </c>
      <c r="O36" s="13">
        <f t="shared" si="29"/>
        <v>3978.7</v>
      </c>
      <c r="P36" s="13">
        <f t="shared" si="17"/>
        <v>17657.7</v>
      </c>
      <c r="Q36" s="383">
        <f t="shared" si="30"/>
        <v>3855</v>
      </c>
      <c r="R36" s="383">
        <f t="shared" si="18"/>
        <v>68070434</v>
      </c>
      <c r="S36" s="383">
        <f>'Table 6 (Local Deduct Calc.)'!J37</f>
        <v>25044133</v>
      </c>
      <c r="T36" s="383">
        <f t="shared" si="31"/>
        <v>25044133</v>
      </c>
      <c r="U36" s="384">
        <f t="shared" si="32"/>
        <v>43026301</v>
      </c>
      <c r="V36" s="385">
        <f t="shared" si="52"/>
        <v>0.6321</v>
      </c>
      <c r="W36" s="385">
        <f t="shared" si="33"/>
        <v>0.3679</v>
      </c>
      <c r="X36" s="386">
        <f t="shared" si="19"/>
        <v>1830.8453103297024</v>
      </c>
      <c r="Y36" s="383">
        <f>'Table 7 Local Revenue'!AQ36</f>
        <v>61121447</v>
      </c>
      <c r="Z36" s="383">
        <f t="shared" si="34"/>
        <v>36077314</v>
      </c>
      <c r="AA36" s="280">
        <f t="shared" si="35"/>
        <v>0</v>
      </c>
      <c r="AB36" s="14">
        <f t="shared" si="36"/>
        <v>23143947.560000002</v>
      </c>
      <c r="AC36" s="14">
        <f t="shared" si="37"/>
        <v>23143947.560000002</v>
      </c>
      <c r="AD36" s="383">
        <f t="shared" si="38"/>
        <v>14645212.288597282</v>
      </c>
      <c r="AE36" s="387">
        <f t="shared" si="39"/>
        <v>8498735.2714027204</v>
      </c>
      <c r="AF36" s="16">
        <f t="shared" si="40"/>
        <v>0.36720000000000003</v>
      </c>
      <c r="AG36" s="387">
        <f t="shared" si="41"/>
        <v>51525036.271402717</v>
      </c>
      <c r="AH36" s="14">
        <f t="shared" si="20"/>
        <v>3767</v>
      </c>
      <c r="AI36" s="387">
        <f>'Table 4 Level 3'!O34</f>
        <v>2542013</v>
      </c>
      <c r="AJ36" s="14">
        <f t="shared" si="21"/>
        <v>185.83324804444769</v>
      </c>
      <c r="AK36" s="387">
        <f t="shared" si="42"/>
        <v>54067049.271402717</v>
      </c>
      <c r="AL36" s="14">
        <f t="shared" si="22"/>
        <v>3952.5586133052648</v>
      </c>
      <c r="AM36" s="505">
        <f>'Table 4 Level 3'!R34</f>
        <v>12868974.049999999</v>
      </c>
      <c r="AN36" s="506">
        <f t="shared" si="23"/>
        <v>940.78324804444765</v>
      </c>
      <c r="AO36" s="387">
        <f t="shared" si="43"/>
        <v>64394010.321402714</v>
      </c>
      <c r="AP36" s="14">
        <f t="shared" si="24"/>
        <v>4707.5086133052646</v>
      </c>
      <c r="AQ36" s="16">
        <f t="shared" si="44"/>
        <v>0.57197383542323132</v>
      </c>
      <c r="AR36" s="388">
        <f t="shared" si="45"/>
        <v>50</v>
      </c>
      <c r="AS36" s="14">
        <f t="shared" si="46"/>
        <v>48188080.560000002</v>
      </c>
      <c r="AT36" s="14">
        <f t="shared" si="25"/>
        <v>3522.78</v>
      </c>
      <c r="AU36" s="388">
        <f t="shared" si="47"/>
        <v>26</v>
      </c>
      <c r="AV36" s="16">
        <f t="shared" si="48"/>
        <v>0.42802616457676862</v>
      </c>
      <c r="AW36" s="388">
        <f t="shared" si="49"/>
        <v>112582090.88140272</v>
      </c>
      <c r="AX36" s="389">
        <f t="shared" si="26"/>
        <v>8230.2866350904824</v>
      </c>
      <c r="AY36" s="388">
        <f t="shared" si="50"/>
        <v>57</v>
      </c>
      <c r="AZ36" s="1212">
        <v>63847348.751467213</v>
      </c>
      <c r="BA36" s="280">
        <f t="shared" si="51"/>
        <v>546661.56993550062</v>
      </c>
      <c r="BB36" s="1872"/>
      <c r="BC36" s="347"/>
      <c r="BD36" s="347"/>
      <c r="BE36" s="347"/>
      <c r="BF36" s="347"/>
      <c r="BG36" s="347"/>
      <c r="BH36" s="347"/>
      <c r="BI36" s="347"/>
      <c r="BJ36" s="347"/>
      <c r="BK36" s="347"/>
      <c r="BL36" s="168"/>
      <c r="BM36" s="168"/>
      <c r="BN36" s="1899"/>
      <c r="BO36" s="168"/>
      <c r="BP36" s="168"/>
      <c r="BQ36" s="1881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</row>
    <row r="37" spans="1:149" s="21" customFormat="1">
      <c r="A37" s="102">
        <v>30</v>
      </c>
      <c r="B37" s="82" t="s">
        <v>122</v>
      </c>
      <c r="C37" s="82">
        <f>'2-1-13 SIS'!S36</f>
        <v>2476</v>
      </c>
      <c r="D37" s="82">
        <f>'[3]2-1-13-Supreme Court Ruling'!AE35</f>
        <v>1351</v>
      </c>
      <c r="E37" s="82">
        <f t="shared" si="12"/>
        <v>297</v>
      </c>
      <c r="F37" s="82">
        <f>'[4]CTE-Oct 2012-Supreme Court'!AC36</f>
        <v>906.5</v>
      </c>
      <c r="G37" s="82">
        <f t="shared" si="13"/>
        <v>54</v>
      </c>
      <c r="H37" s="82">
        <f>'[5]SWD 2-1-13 Supreme Court'!Z35</f>
        <v>230</v>
      </c>
      <c r="I37" s="82">
        <f t="shared" si="27"/>
        <v>345</v>
      </c>
      <c r="J37" s="82">
        <f>'[6]GT_PS-12th Supreme Court'!T34</f>
        <v>37</v>
      </c>
      <c r="K37" s="82">
        <f t="shared" si="28"/>
        <v>22.2</v>
      </c>
      <c r="L37" s="19">
        <f t="shared" si="14"/>
        <v>5024</v>
      </c>
      <c r="M37" s="66">
        <f t="shared" si="15"/>
        <v>0.13397000000000001</v>
      </c>
      <c r="N37" s="19">
        <f t="shared" si="16"/>
        <v>332</v>
      </c>
      <c r="O37" s="19">
        <f t="shared" si="29"/>
        <v>1050.2</v>
      </c>
      <c r="P37" s="13">
        <f t="shared" si="17"/>
        <v>3526.2</v>
      </c>
      <c r="Q37" s="390">
        <f t="shared" si="30"/>
        <v>3855</v>
      </c>
      <c r="R37" s="390">
        <f t="shared" si="18"/>
        <v>13593501</v>
      </c>
      <c r="S37" s="390">
        <f>'Table 6 (Local Deduct Calc.)'!J38</f>
        <v>2901636.5</v>
      </c>
      <c r="T37" s="390">
        <f t="shared" si="31"/>
        <v>2901636.5</v>
      </c>
      <c r="U37" s="391">
        <f t="shared" si="32"/>
        <v>10691864.5</v>
      </c>
      <c r="V37" s="392">
        <f t="shared" si="52"/>
        <v>0.78649999999999998</v>
      </c>
      <c r="W37" s="393">
        <f t="shared" si="33"/>
        <v>0.2135</v>
      </c>
      <c r="X37" s="394">
        <f t="shared" si="19"/>
        <v>1171.904886914378</v>
      </c>
      <c r="Y37" s="390">
        <f>'Table 7 Local Revenue'!AQ37</f>
        <v>9436765.5</v>
      </c>
      <c r="Z37" s="390">
        <f t="shared" si="34"/>
        <v>6535129</v>
      </c>
      <c r="AA37" s="281">
        <f t="shared" si="35"/>
        <v>0</v>
      </c>
      <c r="AB37" s="20">
        <f t="shared" si="36"/>
        <v>4621790.3400000008</v>
      </c>
      <c r="AC37" s="20">
        <f t="shared" si="37"/>
        <v>4621790.3400000008</v>
      </c>
      <c r="AD37" s="390">
        <f t="shared" si="38"/>
        <v>1697213.8486548003</v>
      </c>
      <c r="AE37" s="395">
        <f t="shared" si="39"/>
        <v>2924576.4913452007</v>
      </c>
      <c r="AF37" s="274">
        <f t="shared" si="40"/>
        <v>0.63280000000000003</v>
      </c>
      <c r="AG37" s="395">
        <f t="shared" si="41"/>
        <v>13616440.991345201</v>
      </c>
      <c r="AH37" s="20">
        <f t="shared" si="20"/>
        <v>5499</v>
      </c>
      <c r="AI37" s="395">
        <f>'Table 4 Level 3'!O35</f>
        <v>369619</v>
      </c>
      <c r="AJ37" s="20">
        <f t="shared" si="21"/>
        <v>149.28069466882067</v>
      </c>
      <c r="AK37" s="395">
        <f t="shared" si="42"/>
        <v>13986059.991345201</v>
      </c>
      <c r="AL37" s="20">
        <f t="shared" si="22"/>
        <v>5648.6510465852989</v>
      </c>
      <c r="AM37" s="507">
        <f>'Table 4 Level 3'!R35</f>
        <v>2170091.92</v>
      </c>
      <c r="AN37" s="508">
        <f t="shared" si="23"/>
        <v>876.45069466882069</v>
      </c>
      <c r="AO37" s="395">
        <f t="shared" si="43"/>
        <v>15786532.911345201</v>
      </c>
      <c r="AP37" s="20">
        <f t="shared" si="24"/>
        <v>6375.821046585299</v>
      </c>
      <c r="AQ37" s="274">
        <f t="shared" si="44"/>
        <v>0.67724410851606764</v>
      </c>
      <c r="AR37" s="396">
        <f t="shared" si="45"/>
        <v>24</v>
      </c>
      <c r="AS37" s="20">
        <f t="shared" si="46"/>
        <v>7523426.8399999999</v>
      </c>
      <c r="AT37" s="20">
        <f t="shared" si="25"/>
        <v>3038.54</v>
      </c>
      <c r="AU37" s="396">
        <f t="shared" si="47"/>
        <v>41</v>
      </c>
      <c r="AV37" s="274">
        <f t="shared" si="48"/>
        <v>0.32275589148393224</v>
      </c>
      <c r="AW37" s="396">
        <f t="shared" si="49"/>
        <v>23309959.751345202</v>
      </c>
      <c r="AX37" s="397">
        <f t="shared" si="26"/>
        <v>9414.3617735642983</v>
      </c>
      <c r="AY37" s="396">
        <f t="shared" si="50"/>
        <v>14</v>
      </c>
      <c r="AZ37" s="1213">
        <v>15400251.3522336</v>
      </c>
      <c r="BA37" s="281">
        <f t="shared" si="51"/>
        <v>386281.55911160074</v>
      </c>
      <c r="BB37" s="1876"/>
      <c r="BC37" s="347"/>
      <c r="BD37" s="347"/>
      <c r="BE37" s="347"/>
      <c r="BF37" s="347"/>
      <c r="BG37" s="347"/>
      <c r="BH37" s="347"/>
      <c r="BI37" s="347"/>
      <c r="BJ37" s="347"/>
      <c r="BK37" s="347"/>
      <c r="BL37" s="168"/>
      <c r="BM37" s="168"/>
      <c r="BN37" s="1899"/>
      <c r="BO37" s="168"/>
      <c r="BP37" s="168"/>
      <c r="BQ37" s="1882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</row>
    <row r="38" spans="1:149" s="5" customFormat="1">
      <c r="A38" s="101">
        <v>31</v>
      </c>
      <c r="B38" s="81" t="s">
        <v>123</v>
      </c>
      <c r="C38" s="81">
        <f>'2-1-13 SIS'!S37</f>
        <v>6405</v>
      </c>
      <c r="D38" s="81">
        <f>'[3]2-1-13-Supreme Court Ruling'!AE36</f>
        <v>3895</v>
      </c>
      <c r="E38" s="81">
        <f t="shared" si="12"/>
        <v>857</v>
      </c>
      <c r="F38" s="81">
        <f>'[4]CTE-Oct 2012-Supreme Court'!AC37</f>
        <v>2323</v>
      </c>
      <c r="G38" s="81">
        <f t="shared" si="13"/>
        <v>139</v>
      </c>
      <c r="H38" s="1287">
        <f>'[5]SWD 2-1-13 Supreme Court'!Z36</f>
        <v>743</v>
      </c>
      <c r="I38" s="1287">
        <f t="shared" si="27"/>
        <v>1114.5</v>
      </c>
      <c r="J38" s="1287">
        <f>'[6]GT_PS-12th Supreme Court'!T35</f>
        <v>347</v>
      </c>
      <c r="K38" s="1287">
        <f t="shared" si="28"/>
        <v>208.2</v>
      </c>
      <c r="L38" s="13">
        <f t="shared" si="14"/>
        <v>1095</v>
      </c>
      <c r="M38" s="65">
        <f t="shared" si="15"/>
        <v>2.92E-2</v>
      </c>
      <c r="N38" s="13">
        <f t="shared" si="16"/>
        <v>187</v>
      </c>
      <c r="O38" s="13">
        <f t="shared" si="29"/>
        <v>2505.6999999999998</v>
      </c>
      <c r="P38" s="36">
        <f t="shared" si="17"/>
        <v>8910.7000000000007</v>
      </c>
      <c r="Q38" s="383">
        <f t="shared" si="30"/>
        <v>3855</v>
      </c>
      <c r="R38" s="383">
        <f t="shared" si="18"/>
        <v>34350749</v>
      </c>
      <c r="S38" s="383">
        <f>'Table 6 (Local Deduct Calc.)'!J39</f>
        <v>12072211</v>
      </c>
      <c r="T38" s="383">
        <f t="shared" si="31"/>
        <v>12072211</v>
      </c>
      <c r="U38" s="384">
        <f t="shared" si="32"/>
        <v>22278538</v>
      </c>
      <c r="V38" s="385">
        <f t="shared" si="52"/>
        <v>0.64859999999999995</v>
      </c>
      <c r="W38" s="385">
        <f t="shared" si="33"/>
        <v>0.35139999999999999</v>
      </c>
      <c r="X38" s="386">
        <f t="shared" si="19"/>
        <v>1884.8104605776737</v>
      </c>
      <c r="Y38" s="383">
        <f>'Table 7 Local Revenue'!AQ38</f>
        <v>30943994</v>
      </c>
      <c r="Z38" s="383">
        <f t="shared" si="34"/>
        <v>18871783</v>
      </c>
      <c r="AA38" s="280">
        <f t="shared" si="35"/>
        <v>0</v>
      </c>
      <c r="AB38" s="14">
        <f t="shared" si="36"/>
        <v>11679254.66</v>
      </c>
      <c r="AC38" s="14">
        <f t="shared" si="37"/>
        <v>11679254.66</v>
      </c>
      <c r="AD38" s="383">
        <f t="shared" si="38"/>
        <v>7059034.9505412793</v>
      </c>
      <c r="AE38" s="387">
        <f t="shared" si="39"/>
        <v>4620219.7094587209</v>
      </c>
      <c r="AF38" s="16">
        <f t="shared" si="40"/>
        <v>0.39560000000000001</v>
      </c>
      <c r="AG38" s="387">
        <f t="shared" si="41"/>
        <v>26898757.70945872</v>
      </c>
      <c r="AH38" s="14">
        <f t="shared" si="20"/>
        <v>4200</v>
      </c>
      <c r="AI38" s="387">
        <f>'Table 4 Level 3'!O36</f>
        <v>956144</v>
      </c>
      <c r="AJ38" s="14">
        <f t="shared" si="21"/>
        <v>149.2808743169399</v>
      </c>
      <c r="AK38" s="387">
        <f t="shared" si="42"/>
        <v>27854901.70945872</v>
      </c>
      <c r="AL38" s="14">
        <f t="shared" si="22"/>
        <v>4348.9307899232972</v>
      </c>
      <c r="AM38" s="505">
        <f>'Table 4 Level 3'!R36</f>
        <v>4932560.1500000004</v>
      </c>
      <c r="AN38" s="506">
        <f t="shared" si="23"/>
        <v>770.11087431694</v>
      </c>
      <c r="AO38" s="387">
        <f t="shared" si="43"/>
        <v>31831317.859458722</v>
      </c>
      <c r="AP38" s="14">
        <f t="shared" si="24"/>
        <v>4969.760789923298</v>
      </c>
      <c r="AQ38" s="16">
        <f t="shared" si="44"/>
        <v>0.57268304758999766</v>
      </c>
      <c r="AR38" s="388">
        <f t="shared" si="45"/>
        <v>49</v>
      </c>
      <c r="AS38" s="14">
        <f t="shared" si="46"/>
        <v>23751465.66</v>
      </c>
      <c r="AT38" s="14">
        <f t="shared" si="25"/>
        <v>3708.27</v>
      </c>
      <c r="AU38" s="388">
        <f t="shared" si="47"/>
        <v>23</v>
      </c>
      <c r="AV38" s="16">
        <f t="shared" si="48"/>
        <v>0.42731695241000223</v>
      </c>
      <c r="AW38" s="388">
        <f t="shared" si="49"/>
        <v>55582783.519458726</v>
      </c>
      <c r="AX38" s="389">
        <f t="shared" si="26"/>
        <v>8678.0302138108855</v>
      </c>
      <c r="AY38" s="388">
        <f t="shared" si="50"/>
        <v>41</v>
      </c>
      <c r="AZ38" s="1212">
        <v>30900414.246679999</v>
      </c>
      <c r="BA38" s="280">
        <f t="shared" si="51"/>
        <v>930903.61277872324</v>
      </c>
      <c r="BB38" s="1873"/>
      <c r="BC38" s="347"/>
      <c r="BD38" s="347"/>
      <c r="BE38" s="347"/>
      <c r="BF38" s="347"/>
      <c r="BG38" s="347"/>
      <c r="BH38" s="347"/>
      <c r="BI38" s="347"/>
      <c r="BJ38" s="347"/>
      <c r="BK38" s="347"/>
      <c r="BL38" s="168"/>
      <c r="BM38" s="168"/>
      <c r="BN38" s="1899"/>
      <c r="BO38" s="168"/>
      <c r="BP38" s="168"/>
      <c r="BQ38" s="1881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</row>
    <row r="39" spans="1:149" s="5" customFormat="1">
      <c r="A39" s="101">
        <v>32</v>
      </c>
      <c r="B39" s="81" t="s">
        <v>124</v>
      </c>
      <c r="C39" s="81">
        <f>'2-1-13 SIS'!S38</f>
        <v>24815</v>
      </c>
      <c r="D39" s="81">
        <f>'[3]2-1-13-Supreme Court Ruling'!AE37</f>
        <v>12760</v>
      </c>
      <c r="E39" s="81">
        <f t="shared" si="12"/>
        <v>2807</v>
      </c>
      <c r="F39" s="81">
        <f>'[4]CTE-Oct 2012-Supreme Court'!AC38</f>
        <v>10588</v>
      </c>
      <c r="G39" s="81">
        <f t="shared" si="13"/>
        <v>635</v>
      </c>
      <c r="H39" s="1287">
        <f>'[5]SWD 2-1-13 Supreme Court'!Z37</f>
        <v>3207</v>
      </c>
      <c r="I39" s="1287">
        <f t="shared" si="27"/>
        <v>4810.5</v>
      </c>
      <c r="J39" s="1287">
        <f>'[6]GT_PS-12th Supreme Court'!T36</f>
        <v>1158</v>
      </c>
      <c r="K39" s="1287">
        <f t="shared" si="28"/>
        <v>694.8</v>
      </c>
      <c r="L39" s="13">
        <f t="shared" si="14"/>
        <v>0</v>
      </c>
      <c r="M39" s="65">
        <f t="shared" si="15"/>
        <v>0</v>
      </c>
      <c r="N39" s="13">
        <f t="shared" si="16"/>
        <v>0</v>
      </c>
      <c r="O39" s="13">
        <f t="shared" si="29"/>
        <v>8947.2999999999993</v>
      </c>
      <c r="P39" s="13">
        <f t="shared" si="17"/>
        <v>33762.300000000003</v>
      </c>
      <c r="Q39" s="383">
        <f t="shared" si="30"/>
        <v>3855</v>
      </c>
      <c r="R39" s="383">
        <f t="shared" si="18"/>
        <v>130153667</v>
      </c>
      <c r="S39" s="383">
        <f>'Table 6 (Local Deduct Calc.)'!J40</f>
        <v>19313663.5</v>
      </c>
      <c r="T39" s="383">
        <f t="shared" si="31"/>
        <v>19313663.5</v>
      </c>
      <c r="U39" s="384">
        <f t="shared" si="32"/>
        <v>110840003.5</v>
      </c>
      <c r="V39" s="385">
        <f t="shared" si="52"/>
        <v>0.85160000000000002</v>
      </c>
      <c r="W39" s="385">
        <f t="shared" si="33"/>
        <v>0.1484</v>
      </c>
      <c r="X39" s="386">
        <f t="shared" si="19"/>
        <v>778.30600443280275</v>
      </c>
      <c r="Y39" s="383">
        <f>'Table 7 Local Revenue'!AQ39</f>
        <v>50525265.5</v>
      </c>
      <c r="Z39" s="486">
        <f>IF(Y39-T39&gt;0,Y39-T39,0)-704594</f>
        <v>30507008</v>
      </c>
      <c r="AA39" s="280">
        <f t="shared" si="35"/>
        <v>0</v>
      </c>
      <c r="AB39" s="14">
        <f t="shared" si="36"/>
        <v>44252246.780000001</v>
      </c>
      <c r="AC39" s="14">
        <f t="shared" si="37"/>
        <v>30507008</v>
      </c>
      <c r="AD39" s="383">
        <f t="shared" si="38"/>
        <v>7786852.7779840007</v>
      </c>
      <c r="AE39" s="387">
        <f t="shared" si="39"/>
        <v>22720155.222015999</v>
      </c>
      <c r="AF39" s="16">
        <f t="shared" si="40"/>
        <v>0.74480000000000002</v>
      </c>
      <c r="AG39" s="387">
        <f t="shared" si="41"/>
        <v>133560158.72201601</v>
      </c>
      <c r="AH39" s="14">
        <f t="shared" si="20"/>
        <v>5382</v>
      </c>
      <c r="AI39" s="387">
        <f>'Table 4 Level 3'!O37</f>
        <v>3704405</v>
      </c>
      <c r="AJ39" s="14">
        <f t="shared" si="21"/>
        <v>149.28087850090671</v>
      </c>
      <c r="AK39" s="387">
        <f t="shared" si="42"/>
        <v>137264563.72201601</v>
      </c>
      <c r="AL39" s="14">
        <f t="shared" si="22"/>
        <v>5531.5157655456787</v>
      </c>
      <c r="AM39" s="505">
        <f>'Table 4 Level 3'!R37</f>
        <v>17595097.549999997</v>
      </c>
      <c r="AN39" s="506">
        <f t="shared" si="23"/>
        <v>709.05087850090661</v>
      </c>
      <c r="AO39" s="387">
        <f t="shared" si="43"/>
        <v>151155256.27201599</v>
      </c>
      <c r="AP39" s="14">
        <f t="shared" si="24"/>
        <v>6091.2857655456774</v>
      </c>
      <c r="AQ39" s="16">
        <f t="shared" si="44"/>
        <v>0.75210627435681843</v>
      </c>
      <c r="AR39" s="388">
        <f t="shared" si="45"/>
        <v>6</v>
      </c>
      <c r="AS39" s="14">
        <f t="shared" si="46"/>
        <v>49820671.5</v>
      </c>
      <c r="AT39" s="14">
        <f t="shared" si="25"/>
        <v>2007.68</v>
      </c>
      <c r="AU39" s="388">
        <f t="shared" si="47"/>
        <v>63</v>
      </c>
      <c r="AV39" s="16">
        <f t="shared" si="48"/>
        <v>0.24789372564318155</v>
      </c>
      <c r="AW39" s="388">
        <f t="shared" si="49"/>
        <v>200975927.77201599</v>
      </c>
      <c r="AX39" s="389">
        <f t="shared" si="26"/>
        <v>8098.969485070159</v>
      </c>
      <c r="AY39" s="388">
        <f t="shared" si="50"/>
        <v>62</v>
      </c>
      <c r="AZ39" s="1212">
        <v>147567769.45206401</v>
      </c>
      <c r="BA39" s="280">
        <f t="shared" si="51"/>
        <v>3587486.8199519813</v>
      </c>
      <c r="BB39" s="1873"/>
      <c r="BC39" s="347"/>
      <c r="BD39" s="347"/>
      <c r="BE39" s="347"/>
      <c r="BF39" s="347"/>
      <c r="BG39" s="347"/>
      <c r="BH39" s="347"/>
      <c r="BI39" s="347"/>
      <c r="BJ39" s="347"/>
      <c r="BK39" s="347"/>
      <c r="BL39" s="168"/>
      <c r="BM39" s="168"/>
      <c r="BN39" s="1899"/>
      <c r="BO39" s="168"/>
      <c r="BP39" s="168"/>
      <c r="BQ39" s="1881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</row>
    <row r="40" spans="1:149" s="5" customFormat="1">
      <c r="A40" s="101">
        <v>33</v>
      </c>
      <c r="B40" s="81" t="s">
        <v>125</v>
      </c>
      <c r="C40" s="81">
        <f>'2-1-13 SIS'!S39</f>
        <v>1792</v>
      </c>
      <c r="D40" s="81">
        <f>'[3]2-1-13-Supreme Court Ruling'!AE38</f>
        <v>1634</v>
      </c>
      <c r="E40" s="81">
        <f t="shared" ref="E40:E71" si="53">ROUND($D$4*D40,0)</f>
        <v>359</v>
      </c>
      <c r="F40" s="81">
        <f>'[4]CTE-Oct 2012-Supreme Court'!AC39</f>
        <v>598</v>
      </c>
      <c r="G40" s="81">
        <f t="shared" ref="G40:G71" si="54">ROUND($F$4*F40,0)</f>
        <v>36</v>
      </c>
      <c r="H40" s="1287">
        <f>'[5]SWD 2-1-13 Supreme Court'!Z38</f>
        <v>198</v>
      </c>
      <c r="I40" s="1287">
        <f t="shared" si="27"/>
        <v>297</v>
      </c>
      <c r="J40" s="1287">
        <f>'[6]GT_PS-12th Supreme Court'!T37</f>
        <v>10</v>
      </c>
      <c r="K40" s="1287">
        <f t="shared" si="28"/>
        <v>6</v>
      </c>
      <c r="L40" s="13">
        <f t="shared" ref="L40:L76" si="55">IF(C40&lt;$L$4,$L$4-C40,0)</f>
        <v>5708</v>
      </c>
      <c r="M40" s="65">
        <f t="shared" ref="M40:M71" si="56">ROUND(L40/$M$4,5)</f>
        <v>0.15221000000000001</v>
      </c>
      <c r="N40" s="13">
        <f t="shared" ref="N40:N71" si="57" xml:space="preserve"> ROUND(C40*M40,0)</f>
        <v>273</v>
      </c>
      <c r="O40" s="13">
        <f t="shared" si="29"/>
        <v>971</v>
      </c>
      <c r="P40" s="13">
        <f t="shared" ref="P40:P71" si="58">O40+C40</f>
        <v>2763</v>
      </c>
      <c r="Q40" s="383">
        <f t="shared" si="30"/>
        <v>3855</v>
      </c>
      <c r="R40" s="383">
        <f t="shared" ref="R40:R71" si="59">ROUND(P40*Q40,0)</f>
        <v>10651365</v>
      </c>
      <c r="S40" s="383">
        <f>'Table 6 (Local Deduct Calc.)'!J41</f>
        <v>2774115</v>
      </c>
      <c r="T40" s="383">
        <f t="shared" si="31"/>
        <v>2774115</v>
      </c>
      <c r="U40" s="384">
        <f t="shared" si="32"/>
        <v>7877250</v>
      </c>
      <c r="V40" s="385">
        <f t="shared" si="52"/>
        <v>0.73960000000000004</v>
      </c>
      <c r="W40" s="385">
        <f t="shared" si="33"/>
        <v>0.26040000000000002</v>
      </c>
      <c r="X40" s="386">
        <f t="shared" ref="X40:X71" si="60">T40/C40</f>
        <v>1548.0552455357142</v>
      </c>
      <c r="Y40" s="383">
        <f>'Table 7 Local Revenue'!AQ40</f>
        <v>5320306</v>
      </c>
      <c r="Z40" s="383">
        <f t="shared" si="34"/>
        <v>2546191</v>
      </c>
      <c r="AA40" s="280">
        <f t="shared" si="35"/>
        <v>0</v>
      </c>
      <c r="AB40" s="14">
        <f t="shared" si="36"/>
        <v>3621464.1</v>
      </c>
      <c r="AC40" s="14">
        <f t="shared" si="37"/>
        <v>2546191</v>
      </c>
      <c r="AD40" s="383">
        <f t="shared" si="38"/>
        <v>1140408.3946080001</v>
      </c>
      <c r="AE40" s="387">
        <f t="shared" si="39"/>
        <v>1405782.6053919999</v>
      </c>
      <c r="AF40" s="16">
        <f t="shared" si="40"/>
        <v>0.55210000000000004</v>
      </c>
      <c r="AG40" s="387">
        <f t="shared" si="41"/>
        <v>9283032.6053919997</v>
      </c>
      <c r="AH40" s="14">
        <f t="shared" ref="AH40:AH71" si="61">ROUND(AG40/C40,0)</f>
        <v>5180</v>
      </c>
      <c r="AI40" s="387">
        <f>'Table 4 Level 3'!O38</f>
        <v>267511</v>
      </c>
      <c r="AJ40" s="14">
        <f t="shared" ref="AJ40:AJ71" si="62">AI40/C40</f>
        <v>149.28069196428572</v>
      </c>
      <c r="AK40" s="387">
        <f t="shared" si="42"/>
        <v>9550543.6053919997</v>
      </c>
      <c r="AL40" s="14">
        <f t="shared" ref="AL40:AL71" si="63">AK40/C40</f>
        <v>5329.5444226517857</v>
      </c>
      <c r="AM40" s="505">
        <f>'Table 4 Level 3'!R38</f>
        <v>1441826.52</v>
      </c>
      <c r="AN40" s="506">
        <f t="shared" ref="AN40:AN71" si="64">AM40/C40</f>
        <v>804.59069196428572</v>
      </c>
      <c r="AO40" s="387">
        <f t="shared" si="43"/>
        <v>10724859.125391999</v>
      </c>
      <c r="AP40" s="14">
        <f t="shared" ref="AP40:AP71" si="65">AO40/C40</f>
        <v>5984.8544226517852</v>
      </c>
      <c r="AQ40" s="16">
        <f t="shared" si="44"/>
        <v>0.66841687458981391</v>
      </c>
      <c r="AR40" s="388">
        <f t="shared" si="45"/>
        <v>27</v>
      </c>
      <c r="AS40" s="14">
        <f t="shared" si="46"/>
        <v>5320306</v>
      </c>
      <c r="AT40" s="14">
        <f t="shared" ref="AT40:AT71" si="66">ROUND(AS40/C40,2)</f>
        <v>2968.92</v>
      </c>
      <c r="AU40" s="388">
        <f t="shared" si="47"/>
        <v>43</v>
      </c>
      <c r="AV40" s="16">
        <f t="shared" si="48"/>
        <v>0.33158312541018614</v>
      </c>
      <c r="AW40" s="388">
        <f t="shared" si="49"/>
        <v>16045165.125391999</v>
      </c>
      <c r="AX40" s="389">
        <f t="shared" ref="AX40:AX71" si="67">AW40/C40</f>
        <v>8953.7751815803567</v>
      </c>
      <c r="AY40" s="388">
        <f t="shared" si="50"/>
        <v>26</v>
      </c>
      <c r="AZ40" s="1212">
        <v>12082954.485386116</v>
      </c>
      <c r="BA40" s="280">
        <f t="shared" si="51"/>
        <v>-1358095.3599941172</v>
      </c>
      <c r="BB40" s="1872"/>
      <c r="BC40" s="347"/>
      <c r="BD40" s="347"/>
      <c r="BE40" s="347"/>
      <c r="BF40" s="347"/>
      <c r="BG40" s="347"/>
      <c r="BH40" s="347"/>
      <c r="BI40" s="347"/>
      <c r="BJ40" s="347"/>
      <c r="BK40" s="347"/>
      <c r="BL40" s="168"/>
      <c r="BM40" s="168"/>
      <c r="BN40" s="1899"/>
      <c r="BO40" s="168"/>
      <c r="BP40" s="168"/>
      <c r="BQ40" s="1881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</row>
    <row r="41" spans="1:149" s="5" customFormat="1">
      <c r="A41" s="101">
        <v>34</v>
      </c>
      <c r="B41" s="81" t="s">
        <v>126</v>
      </c>
      <c r="C41" s="593">
        <f>'2-1-13 SIS'!S40</f>
        <v>4272</v>
      </c>
      <c r="D41" s="593">
        <f>'[3]2-1-13-Supreme Court Ruling'!AE39</f>
        <v>3643</v>
      </c>
      <c r="E41" s="593">
        <f t="shared" si="53"/>
        <v>801</v>
      </c>
      <c r="F41" s="593">
        <f>'[4]CTE-Oct 2012-Supreme Court'!AC40</f>
        <v>1791</v>
      </c>
      <c r="G41" s="593">
        <f t="shared" si="54"/>
        <v>107</v>
      </c>
      <c r="H41" s="1288">
        <f>'[5]SWD 2-1-13 Supreme Court'!Z39</f>
        <v>705</v>
      </c>
      <c r="I41" s="1288">
        <f t="shared" si="27"/>
        <v>1057.5</v>
      </c>
      <c r="J41" s="1288">
        <f>'[6]GT_PS-12th Supreme Court'!T38</f>
        <v>49</v>
      </c>
      <c r="K41" s="1288">
        <f t="shared" si="28"/>
        <v>29.4</v>
      </c>
      <c r="L41" s="13">
        <f t="shared" si="55"/>
        <v>3228</v>
      </c>
      <c r="M41" s="65">
        <f t="shared" si="56"/>
        <v>8.6080000000000004E-2</v>
      </c>
      <c r="N41" s="13">
        <f t="shared" si="57"/>
        <v>368</v>
      </c>
      <c r="O41" s="13">
        <f t="shared" si="29"/>
        <v>2362.9</v>
      </c>
      <c r="P41" s="13">
        <f t="shared" si="58"/>
        <v>6634.9</v>
      </c>
      <c r="Q41" s="383">
        <f t="shared" si="30"/>
        <v>3855</v>
      </c>
      <c r="R41" s="383">
        <f t="shared" si="59"/>
        <v>25577540</v>
      </c>
      <c r="S41" s="383">
        <f>'Table 6 (Local Deduct Calc.)'!J42</f>
        <v>5196048.5</v>
      </c>
      <c r="T41" s="383">
        <f t="shared" si="31"/>
        <v>5196048.5</v>
      </c>
      <c r="U41" s="384">
        <f t="shared" si="32"/>
        <v>20381491.5</v>
      </c>
      <c r="V41" s="385">
        <f t="shared" si="52"/>
        <v>0.79690000000000005</v>
      </c>
      <c r="W41" s="385">
        <f t="shared" si="33"/>
        <v>0.2031</v>
      </c>
      <c r="X41" s="386">
        <f t="shared" si="60"/>
        <v>1216.3034878277153</v>
      </c>
      <c r="Y41" s="383">
        <f>'Table 7 Local Revenue'!AQ41</f>
        <v>12309200.5</v>
      </c>
      <c r="Z41" s="383">
        <f t="shared" si="34"/>
        <v>7113152</v>
      </c>
      <c r="AA41" s="280">
        <f t="shared" si="35"/>
        <v>0</v>
      </c>
      <c r="AB41" s="14">
        <f t="shared" si="36"/>
        <v>8696363.6000000015</v>
      </c>
      <c r="AC41" s="14">
        <f t="shared" si="37"/>
        <v>7113152</v>
      </c>
      <c r="AD41" s="383">
        <f t="shared" si="38"/>
        <v>2484851.6144639999</v>
      </c>
      <c r="AE41" s="387">
        <f t="shared" si="39"/>
        <v>4628300.3855360001</v>
      </c>
      <c r="AF41" s="16">
        <f t="shared" si="40"/>
        <v>0.65069999999999995</v>
      </c>
      <c r="AG41" s="387">
        <f t="shared" si="41"/>
        <v>25009791.885536</v>
      </c>
      <c r="AH41" s="14">
        <f t="shared" si="61"/>
        <v>5854</v>
      </c>
      <c r="AI41" s="387">
        <f>'Table 4 Level 3'!O39</f>
        <v>637728</v>
      </c>
      <c r="AJ41" s="14">
        <f t="shared" si="62"/>
        <v>149.28089887640451</v>
      </c>
      <c r="AK41" s="387">
        <f t="shared" si="42"/>
        <v>25647519.885536</v>
      </c>
      <c r="AL41" s="14">
        <f t="shared" si="63"/>
        <v>6003.632932007491</v>
      </c>
      <c r="AM41" s="505">
        <f>'Table 4 Level 3'!R39</f>
        <v>3389365.9200000004</v>
      </c>
      <c r="AN41" s="506">
        <f t="shared" si="64"/>
        <v>793.39089887640455</v>
      </c>
      <c r="AO41" s="387">
        <f>AG41+AM41</f>
        <v>28399157.805536002</v>
      </c>
      <c r="AP41" s="14">
        <f t="shared" si="65"/>
        <v>6647.7429320074907</v>
      </c>
      <c r="AQ41" s="16">
        <f t="shared" si="44"/>
        <v>0.69762473820207949</v>
      </c>
      <c r="AR41" s="388">
        <f t="shared" si="45"/>
        <v>17</v>
      </c>
      <c r="AS41" s="14">
        <f t="shared" si="46"/>
        <v>12309200.5</v>
      </c>
      <c r="AT41" s="14">
        <f t="shared" si="66"/>
        <v>2881.37</v>
      </c>
      <c r="AU41" s="388">
        <f t="shared" si="47"/>
        <v>46</v>
      </c>
      <c r="AV41" s="16">
        <f t="shared" si="48"/>
        <v>0.30237526179792051</v>
      </c>
      <c r="AW41" s="388">
        <f t="shared" si="49"/>
        <v>40708358.305536002</v>
      </c>
      <c r="AX41" s="389">
        <f t="shared" si="67"/>
        <v>9529.1100902471917</v>
      </c>
      <c r="AY41" s="388">
        <f t="shared" si="50"/>
        <v>10</v>
      </c>
      <c r="AZ41" s="1212">
        <v>28118989.404115085</v>
      </c>
      <c r="BA41" s="280">
        <f t="shared" si="51"/>
        <v>280168.40142091736</v>
      </c>
      <c r="BB41" s="1872"/>
      <c r="BC41" s="347"/>
      <c r="BD41" s="347"/>
      <c r="BE41" s="347"/>
      <c r="BF41" s="347"/>
      <c r="BG41" s="347"/>
      <c r="BH41" s="347"/>
      <c r="BI41" s="347"/>
      <c r="BJ41" s="347"/>
      <c r="BK41" s="347"/>
      <c r="BL41" s="168"/>
      <c r="BM41" s="168"/>
      <c r="BN41" s="1899"/>
      <c r="BO41" s="168"/>
      <c r="BP41" s="168"/>
      <c r="BQ41" s="188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</row>
    <row r="42" spans="1:149" s="21" customFormat="1">
      <c r="A42" s="102">
        <v>35</v>
      </c>
      <c r="B42" s="82" t="s">
        <v>127</v>
      </c>
      <c r="C42" s="774">
        <f>'2-1-13 SIS'!S41</f>
        <v>6490</v>
      </c>
      <c r="D42" s="774">
        <f>'[3]2-1-13-Supreme Court Ruling'!AE40</f>
        <v>4857</v>
      </c>
      <c r="E42" s="774">
        <f t="shared" si="53"/>
        <v>1069</v>
      </c>
      <c r="F42" s="774">
        <f>'[4]CTE-Oct 2012-Supreme Court'!AC41</f>
        <v>1874</v>
      </c>
      <c r="G42" s="774">
        <f t="shared" si="54"/>
        <v>112</v>
      </c>
      <c r="H42" s="774">
        <f>'[5]SWD 2-1-13 Supreme Court'!Z40</f>
        <v>740</v>
      </c>
      <c r="I42" s="774">
        <f t="shared" si="27"/>
        <v>1110</v>
      </c>
      <c r="J42" s="774">
        <f>'[6]GT_PS-12th Supreme Court'!T39</f>
        <v>224</v>
      </c>
      <c r="K42" s="774">
        <f t="shared" si="28"/>
        <v>134.4</v>
      </c>
      <c r="L42" s="19">
        <f t="shared" si="55"/>
        <v>1010</v>
      </c>
      <c r="M42" s="66">
        <f t="shared" si="56"/>
        <v>2.6929999999999999E-2</v>
      </c>
      <c r="N42" s="19">
        <f t="shared" si="57"/>
        <v>175</v>
      </c>
      <c r="O42" s="19">
        <f t="shared" si="29"/>
        <v>2600.4</v>
      </c>
      <c r="P42" s="13">
        <f t="shared" si="58"/>
        <v>9090.4</v>
      </c>
      <c r="Q42" s="390">
        <f t="shared" si="30"/>
        <v>3855</v>
      </c>
      <c r="R42" s="390">
        <f t="shared" si="59"/>
        <v>35043492</v>
      </c>
      <c r="S42" s="390">
        <f>'Table 6 (Local Deduct Calc.)'!J43</f>
        <v>11374471</v>
      </c>
      <c r="T42" s="390">
        <f t="shared" si="31"/>
        <v>11374471</v>
      </c>
      <c r="U42" s="391">
        <f t="shared" si="32"/>
        <v>23669021</v>
      </c>
      <c r="V42" s="392">
        <f t="shared" si="52"/>
        <v>0.6754</v>
      </c>
      <c r="W42" s="393">
        <f t="shared" si="33"/>
        <v>0.3246</v>
      </c>
      <c r="X42" s="394">
        <f t="shared" si="60"/>
        <v>1752.6149460708782</v>
      </c>
      <c r="Y42" s="390">
        <f>'Table 7 Local Revenue'!AQ42</f>
        <v>23572281</v>
      </c>
      <c r="Z42" s="390">
        <f t="shared" si="34"/>
        <v>12197810</v>
      </c>
      <c r="AA42" s="281">
        <f t="shared" si="35"/>
        <v>0</v>
      </c>
      <c r="AB42" s="20">
        <f t="shared" si="36"/>
        <v>11914787.280000001</v>
      </c>
      <c r="AC42" s="20">
        <f t="shared" si="37"/>
        <v>11914787.280000001</v>
      </c>
      <c r="AD42" s="390">
        <f t="shared" si="38"/>
        <v>6652168.7158713611</v>
      </c>
      <c r="AE42" s="395">
        <f t="shared" si="39"/>
        <v>5262618.5641286401</v>
      </c>
      <c r="AF42" s="274">
        <f t="shared" si="40"/>
        <v>0.44169999999999998</v>
      </c>
      <c r="AG42" s="395">
        <f t="shared" si="41"/>
        <v>28931639.564128641</v>
      </c>
      <c r="AH42" s="20">
        <f t="shared" si="61"/>
        <v>4458</v>
      </c>
      <c r="AI42" s="395">
        <f>'Table 4 Level 3'!O40</f>
        <v>968833</v>
      </c>
      <c r="AJ42" s="20">
        <f t="shared" si="62"/>
        <v>149.28089368258858</v>
      </c>
      <c r="AK42" s="395">
        <f t="shared" si="42"/>
        <v>29900472.564128641</v>
      </c>
      <c r="AL42" s="20">
        <f t="shared" si="63"/>
        <v>4607.1606416222867</v>
      </c>
      <c r="AM42" s="507">
        <f>'Table 4 Level 3'!R40</f>
        <v>4460193.4000000004</v>
      </c>
      <c r="AN42" s="508">
        <f t="shared" si="64"/>
        <v>687.24089368258865</v>
      </c>
      <c r="AO42" s="395">
        <f t="shared" si="43"/>
        <v>33391832.964128643</v>
      </c>
      <c r="AP42" s="20">
        <f t="shared" si="65"/>
        <v>5145.1206416222867</v>
      </c>
      <c r="AQ42" s="274">
        <f t="shared" si="44"/>
        <v>0.58911767983273544</v>
      </c>
      <c r="AR42" s="396">
        <f t="shared" si="45"/>
        <v>45</v>
      </c>
      <c r="AS42" s="20">
        <f t="shared" si="46"/>
        <v>23289258.280000001</v>
      </c>
      <c r="AT42" s="20">
        <f t="shared" si="66"/>
        <v>3588.48</v>
      </c>
      <c r="AU42" s="396">
        <f t="shared" si="47"/>
        <v>25</v>
      </c>
      <c r="AV42" s="274">
        <f t="shared" si="48"/>
        <v>0.41088232016726456</v>
      </c>
      <c r="AW42" s="396">
        <f t="shared" si="49"/>
        <v>56681091.244128644</v>
      </c>
      <c r="AX42" s="397">
        <f t="shared" si="67"/>
        <v>8733.6041978626563</v>
      </c>
      <c r="AY42" s="396">
        <f t="shared" si="50"/>
        <v>38</v>
      </c>
      <c r="AZ42" s="1213">
        <v>34692852.915260002</v>
      </c>
      <c r="BA42" s="281">
        <f t="shared" si="51"/>
        <v>-1301019.9511313587</v>
      </c>
      <c r="BB42" s="1874"/>
      <c r="BC42" s="347"/>
      <c r="BD42" s="347"/>
      <c r="BE42" s="347"/>
      <c r="BF42" s="347"/>
      <c r="BG42" s="347"/>
      <c r="BH42" s="347"/>
      <c r="BI42" s="347"/>
      <c r="BJ42" s="347"/>
      <c r="BK42" s="347"/>
      <c r="BL42" s="168"/>
      <c r="BM42" s="168"/>
      <c r="BN42" s="1899"/>
      <c r="BO42" s="168"/>
      <c r="BP42" s="168"/>
      <c r="BQ42" s="188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</row>
    <row r="43" spans="1:149" s="5" customFormat="1">
      <c r="A43" s="101">
        <v>36</v>
      </c>
      <c r="B43" s="81" t="s">
        <v>128</v>
      </c>
      <c r="C43" s="593">
        <f>'2-1-13 SIS'!S42</f>
        <v>40704</v>
      </c>
      <c r="D43" s="593">
        <f>'[3]2-1-13-Supreme Court Ruling'!AE41</f>
        <v>34713</v>
      </c>
      <c r="E43" s="593">
        <f t="shared" si="53"/>
        <v>7637</v>
      </c>
      <c r="F43" s="593">
        <f>'[4]CTE-Oct 2012-Supreme Court'!AC42</f>
        <v>4949.5</v>
      </c>
      <c r="G43" s="593">
        <f t="shared" si="54"/>
        <v>297</v>
      </c>
      <c r="H43" s="1288">
        <f>'[5]SWD 2-1-13 Supreme Court'!Z41</f>
        <v>4700</v>
      </c>
      <c r="I43" s="1288">
        <f t="shared" si="27"/>
        <v>7050</v>
      </c>
      <c r="J43" s="1288">
        <f>'[6]GT_PS-12th Supreme Court'!T40</f>
        <v>2742</v>
      </c>
      <c r="K43" s="1288">
        <f t="shared" si="28"/>
        <v>1645.2</v>
      </c>
      <c r="L43" s="13">
        <f t="shared" si="55"/>
        <v>0</v>
      </c>
      <c r="M43" s="65">
        <f t="shared" si="56"/>
        <v>0</v>
      </c>
      <c r="N43" s="13">
        <f t="shared" si="57"/>
        <v>0</v>
      </c>
      <c r="O43" s="13">
        <f t="shared" si="29"/>
        <v>16629.2</v>
      </c>
      <c r="P43" s="36">
        <f t="shared" si="58"/>
        <v>57333.2</v>
      </c>
      <c r="Q43" s="383">
        <f t="shared" si="30"/>
        <v>3855</v>
      </c>
      <c r="R43" s="383">
        <f t="shared" si="59"/>
        <v>221019486</v>
      </c>
      <c r="S43" s="383">
        <f>'Table 6 (Local Deduct Calc.)'!J44</f>
        <v>100812512</v>
      </c>
      <c r="T43" s="383">
        <f t="shared" si="31"/>
        <v>100812512</v>
      </c>
      <c r="U43" s="384">
        <f t="shared" si="32"/>
        <v>120206974</v>
      </c>
      <c r="V43" s="385">
        <f t="shared" si="52"/>
        <v>0.54390000000000005</v>
      </c>
      <c r="W43" s="385">
        <f t="shared" si="33"/>
        <v>0.45610000000000001</v>
      </c>
      <c r="X43" s="386">
        <f t="shared" si="60"/>
        <v>2476.7224842767296</v>
      </c>
      <c r="Y43" s="383">
        <f>'Table 7 Local Revenue'!AQ43</f>
        <v>213521739</v>
      </c>
      <c r="Z43" s="383">
        <f t="shared" si="34"/>
        <v>112709227</v>
      </c>
      <c r="AA43" s="280">
        <f t="shared" si="35"/>
        <v>0</v>
      </c>
      <c r="AB43" s="14">
        <f t="shared" si="36"/>
        <v>75146625.24000001</v>
      </c>
      <c r="AC43" s="14">
        <f t="shared" si="37"/>
        <v>75146625.24000001</v>
      </c>
      <c r="AD43" s="383">
        <f t="shared" si="38"/>
        <v>58951926.327778086</v>
      </c>
      <c r="AE43" s="387">
        <f t="shared" si="39"/>
        <v>16194698.912221923</v>
      </c>
      <c r="AF43" s="16">
        <f t="shared" si="40"/>
        <v>0.2155</v>
      </c>
      <c r="AG43" s="387">
        <f t="shared" si="41"/>
        <v>136401672.91222191</v>
      </c>
      <c r="AH43" s="14">
        <f t="shared" si="61"/>
        <v>3351</v>
      </c>
      <c r="AI43" s="387">
        <f>'Table 4 Level 3'!O41</f>
        <v>6896329</v>
      </c>
      <c r="AJ43" s="14">
        <f t="shared" si="62"/>
        <v>169.42632173742138</v>
      </c>
      <c r="AK43" s="387">
        <f t="shared" si="42"/>
        <v>143298001.91222191</v>
      </c>
      <c r="AL43" s="14">
        <f t="shared" si="63"/>
        <v>3520.4894337711748</v>
      </c>
      <c r="AM43" s="505">
        <f>'Table 4 Level 3'!R41</f>
        <v>36816512.015967853</v>
      </c>
      <c r="AN43" s="506">
        <f t="shared" si="64"/>
        <v>904.49371108411594</v>
      </c>
      <c r="AO43" s="387">
        <f>AG43+AM43</f>
        <v>173218184.92818975</v>
      </c>
      <c r="AP43" s="14">
        <f t="shared" si="65"/>
        <v>4255.5568231178695</v>
      </c>
      <c r="AQ43" s="16">
        <f t="shared" si="44"/>
        <v>0.49607512839781442</v>
      </c>
      <c r="AR43" s="388">
        <f t="shared" si="45"/>
        <v>57</v>
      </c>
      <c r="AS43" s="14">
        <f t="shared" si="46"/>
        <v>175959137.24000001</v>
      </c>
      <c r="AT43" s="14">
        <f t="shared" si="66"/>
        <v>4322.8999999999996</v>
      </c>
      <c r="AU43" s="388">
        <f t="shared" si="47"/>
        <v>16</v>
      </c>
      <c r="AV43" s="16">
        <f t="shared" si="48"/>
        <v>0.50392487160218558</v>
      </c>
      <c r="AW43" s="388">
        <f t="shared" si="49"/>
        <v>349177322.16818976</v>
      </c>
      <c r="AX43" s="389">
        <f t="shared" si="67"/>
        <v>8578.4522938332775</v>
      </c>
      <c r="AY43" s="388">
        <f t="shared" si="50"/>
        <v>45</v>
      </c>
      <c r="AZ43" s="1212">
        <v>180755107.14403456</v>
      </c>
      <c r="BA43" s="280">
        <f t="shared" si="51"/>
        <v>-7536922.21584481</v>
      </c>
      <c r="BB43" s="1873"/>
      <c r="BC43" s="347"/>
      <c r="BD43" s="347"/>
      <c r="BE43" s="347"/>
      <c r="BF43" s="347"/>
      <c r="BG43" s="347"/>
      <c r="BH43" s="347"/>
      <c r="BI43" s="347"/>
      <c r="BJ43" s="347"/>
      <c r="BK43" s="347"/>
      <c r="BL43" s="1905"/>
      <c r="BM43" s="1905"/>
      <c r="BN43" s="1906"/>
      <c r="BO43" s="1905"/>
      <c r="BP43" s="1905"/>
      <c r="BQ43" s="1885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</row>
    <row r="44" spans="1:149" s="5" customFormat="1">
      <c r="A44" s="101">
        <v>37</v>
      </c>
      <c r="B44" s="81" t="s">
        <v>129</v>
      </c>
      <c r="C44" s="593">
        <f>'2-1-13 SIS'!S43</f>
        <v>19622</v>
      </c>
      <c r="D44" s="593">
        <f>'[3]2-1-13-Supreme Court Ruling'!AE42</f>
        <v>11606</v>
      </c>
      <c r="E44" s="593">
        <f t="shared" si="53"/>
        <v>2553</v>
      </c>
      <c r="F44" s="593">
        <f>'[4]CTE-Oct 2012-Supreme Court'!AC43</f>
        <v>3841</v>
      </c>
      <c r="G44" s="593">
        <f t="shared" si="54"/>
        <v>230</v>
      </c>
      <c r="H44" s="1288">
        <f>'[5]SWD 2-1-13 Supreme Court'!Z42</f>
        <v>2495</v>
      </c>
      <c r="I44" s="1288">
        <f t="shared" si="27"/>
        <v>3742.5</v>
      </c>
      <c r="J44" s="1288">
        <f>'[6]GT_PS-12th Supreme Court'!T41</f>
        <v>967</v>
      </c>
      <c r="K44" s="1288">
        <f t="shared" si="28"/>
        <v>580.19999999999993</v>
      </c>
      <c r="L44" s="13">
        <f t="shared" si="55"/>
        <v>0</v>
      </c>
      <c r="M44" s="65">
        <f t="shared" si="56"/>
        <v>0</v>
      </c>
      <c r="N44" s="13">
        <f t="shared" si="57"/>
        <v>0</v>
      </c>
      <c r="O44" s="13">
        <f t="shared" si="29"/>
        <v>7105.7</v>
      </c>
      <c r="P44" s="13">
        <f t="shared" si="58"/>
        <v>26727.7</v>
      </c>
      <c r="Q44" s="383">
        <f t="shared" si="30"/>
        <v>3855</v>
      </c>
      <c r="R44" s="383">
        <f t="shared" si="59"/>
        <v>103035284</v>
      </c>
      <c r="S44" s="383">
        <f>'Table 6 (Local Deduct Calc.)'!J45</f>
        <v>20838132.5</v>
      </c>
      <c r="T44" s="383">
        <f t="shared" si="31"/>
        <v>20838132.5</v>
      </c>
      <c r="U44" s="384">
        <f t="shared" si="32"/>
        <v>82197151.5</v>
      </c>
      <c r="V44" s="385">
        <f t="shared" si="52"/>
        <v>0.79779999999999995</v>
      </c>
      <c r="W44" s="385">
        <f t="shared" si="33"/>
        <v>0.20219999999999999</v>
      </c>
      <c r="X44" s="386">
        <f t="shared" si="60"/>
        <v>1061.9780093772297</v>
      </c>
      <c r="Y44" s="383">
        <f>'Table 7 Local Revenue'!AQ44</f>
        <v>62626999.5</v>
      </c>
      <c r="Z44" s="383">
        <f t="shared" si="34"/>
        <v>41788867</v>
      </c>
      <c r="AA44" s="280">
        <f t="shared" si="35"/>
        <v>0</v>
      </c>
      <c r="AB44" s="14">
        <f t="shared" si="36"/>
        <v>35031996.560000002</v>
      </c>
      <c r="AC44" s="14">
        <f t="shared" si="37"/>
        <v>35031996.560000002</v>
      </c>
      <c r="AD44" s="383">
        <f t="shared" si="38"/>
        <v>12183567.891623041</v>
      </c>
      <c r="AE44" s="387">
        <f t="shared" si="39"/>
        <v>22848428.66837696</v>
      </c>
      <c r="AF44" s="16">
        <f t="shared" si="40"/>
        <v>0.6522</v>
      </c>
      <c r="AG44" s="387">
        <f t="shared" si="41"/>
        <v>105045580.16837695</v>
      </c>
      <c r="AH44" s="14">
        <f t="shared" si="61"/>
        <v>5353</v>
      </c>
      <c r="AI44" s="387">
        <f>'Table 4 Level 3'!O42</f>
        <v>2949190</v>
      </c>
      <c r="AJ44" s="14">
        <f t="shared" si="62"/>
        <v>150.30017327489551</v>
      </c>
      <c r="AK44" s="387">
        <f t="shared" si="42"/>
        <v>107994770.16837695</v>
      </c>
      <c r="AL44" s="14">
        <f t="shared" si="63"/>
        <v>5503.7595641818853</v>
      </c>
      <c r="AM44" s="505">
        <f>'Table 4 Level 3'!R42</f>
        <v>15774325.42</v>
      </c>
      <c r="AN44" s="506">
        <f t="shared" si="64"/>
        <v>803.91017327489556</v>
      </c>
      <c r="AO44" s="387">
        <f t="shared" si="43"/>
        <v>120819905.58837695</v>
      </c>
      <c r="AP44" s="14">
        <f t="shared" si="65"/>
        <v>6157.3695641818849</v>
      </c>
      <c r="AQ44" s="16">
        <f t="shared" si="44"/>
        <v>0.68379581128508649</v>
      </c>
      <c r="AR44" s="388">
        <f t="shared" si="45"/>
        <v>23</v>
      </c>
      <c r="AS44" s="14">
        <f t="shared" si="46"/>
        <v>55870129.060000002</v>
      </c>
      <c r="AT44" s="14">
        <f t="shared" si="66"/>
        <v>2847.32</v>
      </c>
      <c r="AU44" s="388">
        <f t="shared" si="47"/>
        <v>50</v>
      </c>
      <c r="AV44" s="16">
        <f t="shared" si="48"/>
        <v>0.31620418871491357</v>
      </c>
      <c r="AW44" s="388">
        <f t="shared" si="49"/>
        <v>176690034.64837694</v>
      </c>
      <c r="AX44" s="389">
        <f t="shared" si="67"/>
        <v>9004.690380612421</v>
      </c>
      <c r="AY44" s="388">
        <f t="shared" si="50"/>
        <v>24</v>
      </c>
      <c r="AZ44" s="1212">
        <v>119155841.31940985</v>
      </c>
      <c r="BA44" s="280">
        <f t="shared" si="51"/>
        <v>1664064.2689671069</v>
      </c>
      <c r="BB44" s="1873"/>
      <c r="BC44" s="347"/>
      <c r="BD44" s="347"/>
      <c r="BE44" s="347"/>
      <c r="BF44" s="347"/>
      <c r="BG44" s="347"/>
      <c r="BH44" s="347"/>
      <c r="BI44" s="347"/>
      <c r="BJ44" s="347"/>
      <c r="BK44" s="347"/>
      <c r="BL44" s="168"/>
      <c r="BM44" s="168"/>
      <c r="BN44" s="1899"/>
      <c r="BO44" s="168"/>
      <c r="BP44" s="168"/>
      <c r="BQ44" s="1881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</row>
    <row r="45" spans="1:149" s="5" customFormat="1">
      <c r="A45" s="101">
        <v>38</v>
      </c>
      <c r="B45" s="81" t="s">
        <v>130</v>
      </c>
      <c r="C45" s="593">
        <f>'2-1-13 SIS'!S44</f>
        <v>3810</v>
      </c>
      <c r="D45" s="593">
        <f>'[3]2-1-13-Supreme Court Ruling'!AE43</f>
        <v>2392</v>
      </c>
      <c r="E45" s="593">
        <f t="shared" si="53"/>
        <v>526</v>
      </c>
      <c r="F45" s="593">
        <f>'[4]CTE-Oct 2012-Supreme Court'!AC44</f>
        <v>1287.5</v>
      </c>
      <c r="G45" s="593">
        <f t="shared" si="54"/>
        <v>77</v>
      </c>
      <c r="H45" s="1288">
        <f>'[5]SWD 2-1-13 Supreme Court'!Z43</f>
        <v>474</v>
      </c>
      <c r="I45" s="1288">
        <f t="shared" si="27"/>
        <v>711</v>
      </c>
      <c r="J45" s="1288">
        <f>'[6]GT_PS-12th Supreme Court'!T42</f>
        <v>202</v>
      </c>
      <c r="K45" s="1288">
        <f t="shared" si="28"/>
        <v>121.19999999999999</v>
      </c>
      <c r="L45" s="13">
        <f t="shared" si="55"/>
        <v>3690</v>
      </c>
      <c r="M45" s="65">
        <f t="shared" si="56"/>
        <v>9.8400000000000001E-2</v>
      </c>
      <c r="N45" s="13">
        <f t="shared" si="57"/>
        <v>375</v>
      </c>
      <c r="O45" s="13">
        <f t="shared" si="29"/>
        <v>1810.2</v>
      </c>
      <c r="P45" s="13">
        <f t="shared" si="58"/>
        <v>5620.2</v>
      </c>
      <c r="Q45" s="383">
        <f t="shared" si="30"/>
        <v>3855</v>
      </c>
      <c r="R45" s="383">
        <f t="shared" si="59"/>
        <v>21665871</v>
      </c>
      <c r="S45" s="383">
        <f>'Table 6 (Local Deduct Calc.)'!J46</f>
        <v>24142719.5</v>
      </c>
      <c r="T45" s="383">
        <f t="shared" si="31"/>
        <v>16249403.25</v>
      </c>
      <c r="U45" s="384">
        <f t="shared" si="32"/>
        <v>5416467.75</v>
      </c>
      <c r="V45" s="385">
        <f t="shared" si="52"/>
        <v>0.25</v>
      </c>
      <c r="W45" s="385">
        <f t="shared" si="33"/>
        <v>0.75</v>
      </c>
      <c r="X45" s="386">
        <f t="shared" si="60"/>
        <v>4264.9352362204727</v>
      </c>
      <c r="Y45" s="383">
        <f>'Table 7 Local Revenue'!AQ45</f>
        <v>42088042.5</v>
      </c>
      <c r="Z45" s="383">
        <f t="shared" si="34"/>
        <v>25838639.25</v>
      </c>
      <c r="AA45" s="280">
        <f t="shared" si="35"/>
        <v>0</v>
      </c>
      <c r="AB45" s="14">
        <f t="shared" si="36"/>
        <v>7366396.1400000006</v>
      </c>
      <c r="AC45" s="14">
        <f t="shared" si="37"/>
        <v>7366396.1400000006</v>
      </c>
      <c r="AD45" s="383">
        <f t="shared" si="38"/>
        <v>9502651.0206000004</v>
      </c>
      <c r="AE45" s="387">
        <f t="shared" si="39"/>
        <v>0</v>
      </c>
      <c r="AF45" s="16">
        <f t="shared" si="40"/>
        <v>0</v>
      </c>
      <c r="AG45" s="387">
        <f t="shared" si="41"/>
        <v>5416467.75</v>
      </c>
      <c r="AH45" s="14">
        <f t="shared" si="61"/>
        <v>1422</v>
      </c>
      <c r="AI45" s="387">
        <f>'Table 4 Level 3'!O43</f>
        <v>2937927</v>
      </c>
      <c r="AJ45" s="14">
        <f t="shared" si="62"/>
        <v>771.10944881889759</v>
      </c>
      <c r="AK45" s="387">
        <f t="shared" si="42"/>
        <v>8354394.75</v>
      </c>
      <c r="AL45" s="14">
        <f t="shared" si="63"/>
        <v>2192.7545275590551</v>
      </c>
      <c r="AM45" s="505">
        <f>'Table 4 Level 3'!R43</f>
        <v>6099922.2000000002</v>
      </c>
      <c r="AN45" s="506">
        <f t="shared" si="64"/>
        <v>1601.0294488188977</v>
      </c>
      <c r="AO45" s="387">
        <f t="shared" si="43"/>
        <v>11516389.949999999</v>
      </c>
      <c r="AP45" s="14">
        <f t="shared" si="65"/>
        <v>3022.6745275590547</v>
      </c>
      <c r="AQ45" s="16">
        <f t="shared" si="44"/>
        <v>0.32780165900130603</v>
      </c>
      <c r="AR45" s="388">
        <f t="shared" si="45"/>
        <v>65</v>
      </c>
      <c r="AS45" s="14">
        <f t="shared" si="46"/>
        <v>23615799.390000001</v>
      </c>
      <c r="AT45" s="14">
        <f t="shared" si="66"/>
        <v>6198.37</v>
      </c>
      <c r="AU45" s="388">
        <f t="shared" si="47"/>
        <v>3</v>
      </c>
      <c r="AV45" s="16">
        <f t="shared" si="48"/>
        <v>0.67219834099869391</v>
      </c>
      <c r="AW45" s="388">
        <f t="shared" si="49"/>
        <v>35132189.340000004</v>
      </c>
      <c r="AX45" s="389">
        <f t="shared" si="67"/>
        <v>9221.0470708661433</v>
      </c>
      <c r="AY45" s="388">
        <f t="shared" si="50"/>
        <v>16</v>
      </c>
      <c r="AZ45" s="1212">
        <v>12744019.095111018</v>
      </c>
      <c r="BA45" s="280">
        <f t="shared" si="51"/>
        <v>-1227629.1451110188</v>
      </c>
      <c r="BB45" s="1873"/>
      <c r="BC45" s="347"/>
      <c r="BD45" s="347"/>
      <c r="BE45" s="347"/>
      <c r="BF45" s="347"/>
      <c r="BG45" s="347"/>
      <c r="BH45" s="347"/>
      <c r="BI45" s="347"/>
      <c r="BJ45" s="347"/>
      <c r="BK45" s="347"/>
      <c r="BL45" s="168"/>
      <c r="BM45" s="168"/>
      <c r="BN45" s="1899"/>
      <c r="BO45" s="168"/>
      <c r="BP45" s="168"/>
      <c r="BQ45" s="1881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</row>
    <row r="46" spans="1:149" s="5" customFormat="1">
      <c r="A46" s="101">
        <v>39</v>
      </c>
      <c r="B46" s="81" t="s">
        <v>131</v>
      </c>
      <c r="C46" s="593">
        <f>'2-1-13 SIS'!S45</f>
        <v>2839</v>
      </c>
      <c r="D46" s="593">
        <f>'[3]2-1-13-Supreme Court Ruling'!AE44</f>
        <v>2417</v>
      </c>
      <c r="E46" s="593">
        <f t="shared" si="53"/>
        <v>532</v>
      </c>
      <c r="F46" s="593">
        <f>'[4]CTE-Oct 2012-Supreme Court'!AC45</f>
        <v>887.5</v>
      </c>
      <c r="G46" s="593">
        <f t="shared" si="54"/>
        <v>53</v>
      </c>
      <c r="H46" s="1288">
        <f>'[5]SWD 2-1-13 Supreme Court'!Z44+2</f>
        <v>468</v>
      </c>
      <c r="I46" s="1288">
        <f t="shared" si="27"/>
        <v>702</v>
      </c>
      <c r="J46" s="1288">
        <f>'[6]GT_PS-12th Supreme Court'!T43</f>
        <v>33</v>
      </c>
      <c r="K46" s="1288">
        <f t="shared" si="28"/>
        <v>19.8</v>
      </c>
      <c r="L46" s="13">
        <f t="shared" si="55"/>
        <v>4661</v>
      </c>
      <c r="M46" s="65">
        <f t="shared" si="56"/>
        <v>0.12429</v>
      </c>
      <c r="N46" s="13">
        <f t="shared" si="57"/>
        <v>353</v>
      </c>
      <c r="O46" s="13">
        <f t="shared" si="29"/>
        <v>1659.8</v>
      </c>
      <c r="P46" s="13">
        <f t="shared" si="58"/>
        <v>4498.8</v>
      </c>
      <c r="Q46" s="383">
        <f t="shared" si="30"/>
        <v>3855</v>
      </c>
      <c r="R46" s="383">
        <f t="shared" si="59"/>
        <v>17342874</v>
      </c>
      <c r="S46" s="383">
        <f>'Table 6 (Local Deduct Calc.)'!J47</f>
        <v>8451396</v>
      </c>
      <c r="T46" s="383">
        <f t="shared" si="31"/>
        <v>8451396</v>
      </c>
      <c r="U46" s="384">
        <f t="shared" si="32"/>
        <v>8891478</v>
      </c>
      <c r="V46" s="385">
        <f t="shared" si="52"/>
        <v>0.51270000000000004</v>
      </c>
      <c r="W46" s="385">
        <f t="shared" si="33"/>
        <v>0.48730000000000001</v>
      </c>
      <c r="X46" s="386">
        <f t="shared" si="60"/>
        <v>2976.8918633321591</v>
      </c>
      <c r="Y46" s="383">
        <f>'Table 7 Local Revenue'!AQ46</f>
        <v>12739289</v>
      </c>
      <c r="Z46" s="383">
        <f t="shared" si="34"/>
        <v>4287893</v>
      </c>
      <c r="AA46" s="280">
        <f t="shared" si="35"/>
        <v>0</v>
      </c>
      <c r="AB46" s="14">
        <f t="shared" si="36"/>
        <v>5896577.1600000001</v>
      </c>
      <c r="AC46" s="14">
        <f t="shared" si="37"/>
        <v>4287893</v>
      </c>
      <c r="AD46" s="383">
        <f t="shared" si="38"/>
        <v>3593923.2453080001</v>
      </c>
      <c r="AE46" s="387">
        <f t="shared" si="39"/>
        <v>693969.75469199987</v>
      </c>
      <c r="AF46" s="16">
        <f t="shared" si="40"/>
        <v>0.1618</v>
      </c>
      <c r="AG46" s="387">
        <f t="shared" si="41"/>
        <v>9585447.7546919994</v>
      </c>
      <c r="AH46" s="14">
        <f t="shared" si="61"/>
        <v>3376</v>
      </c>
      <c r="AI46" s="387">
        <f>'Table 4 Level 3'!O44</f>
        <v>748496</v>
      </c>
      <c r="AJ46" s="14">
        <f t="shared" si="62"/>
        <v>263.64776329693552</v>
      </c>
      <c r="AK46" s="387">
        <f t="shared" si="42"/>
        <v>10333943.754691999</v>
      </c>
      <c r="AL46" s="14">
        <f t="shared" si="63"/>
        <v>3639.9942778062696</v>
      </c>
      <c r="AM46" s="505">
        <f>'Table 4 Level 3'!R44</f>
        <v>2961938.6186844232</v>
      </c>
      <c r="AN46" s="506">
        <f t="shared" si="64"/>
        <v>1043.3034937247</v>
      </c>
      <c r="AO46" s="387">
        <f t="shared" si="43"/>
        <v>12547386.373376422</v>
      </c>
      <c r="AP46" s="14">
        <f t="shared" si="65"/>
        <v>4419.6500082340335</v>
      </c>
      <c r="AQ46" s="16">
        <f t="shared" si="44"/>
        <v>0.49620545951988559</v>
      </c>
      <c r="AR46" s="388">
        <f t="shared" si="45"/>
        <v>56</v>
      </c>
      <c r="AS46" s="14">
        <f t="shared" si="46"/>
        <v>12739289</v>
      </c>
      <c r="AT46" s="14">
        <f t="shared" si="66"/>
        <v>4487.25</v>
      </c>
      <c r="AU46" s="388">
        <f t="shared" si="47"/>
        <v>13</v>
      </c>
      <c r="AV46" s="16">
        <f t="shared" si="48"/>
        <v>0.50379454048011441</v>
      </c>
      <c r="AW46" s="388">
        <f t="shared" si="49"/>
        <v>25286675.373376422</v>
      </c>
      <c r="AX46" s="389">
        <f t="shared" si="67"/>
        <v>8906.8951649793671</v>
      </c>
      <c r="AY46" s="388">
        <f t="shared" si="50"/>
        <v>29</v>
      </c>
      <c r="AZ46" s="1212">
        <v>12869063.031965293</v>
      </c>
      <c r="BA46" s="280">
        <f t="shared" si="51"/>
        <v>-321676.65858887136</v>
      </c>
      <c r="BB46" s="1872"/>
      <c r="BC46" s="347"/>
      <c r="BD46" s="347"/>
      <c r="BE46" s="347"/>
      <c r="BF46" s="347"/>
      <c r="BG46" s="347"/>
      <c r="BH46" s="347"/>
      <c r="BI46" s="347"/>
      <c r="BJ46" s="347"/>
      <c r="BK46" s="347"/>
      <c r="BL46" s="1900"/>
      <c r="BM46" s="1900"/>
      <c r="BN46" s="1901"/>
      <c r="BO46" s="1900"/>
      <c r="BP46" s="1900"/>
      <c r="BQ46" s="1883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</row>
    <row r="47" spans="1:149" s="21" customFormat="1">
      <c r="A47" s="102">
        <v>40</v>
      </c>
      <c r="B47" s="82" t="s">
        <v>132</v>
      </c>
      <c r="C47" s="774">
        <f>'2-1-13 SIS'!S46</f>
        <v>22975</v>
      </c>
      <c r="D47" s="774">
        <f>'[3]2-1-13-Supreme Court Ruling'!AE45</f>
        <v>15920</v>
      </c>
      <c r="E47" s="774">
        <f t="shared" si="53"/>
        <v>3502</v>
      </c>
      <c r="F47" s="774">
        <f>'[4]CTE-Oct 2012-Supreme Court'!AC46</f>
        <v>10141</v>
      </c>
      <c r="G47" s="774">
        <f t="shared" si="54"/>
        <v>608</v>
      </c>
      <c r="H47" s="774">
        <f>'[5]SWD 2-1-13 Supreme Court'!Z45</f>
        <v>2554</v>
      </c>
      <c r="I47" s="774">
        <f t="shared" si="27"/>
        <v>3831</v>
      </c>
      <c r="J47" s="774">
        <f>'[6]GT_PS-12th Supreme Court'!T44</f>
        <v>570</v>
      </c>
      <c r="K47" s="774">
        <f t="shared" si="28"/>
        <v>342</v>
      </c>
      <c r="L47" s="19">
        <f t="shared" si="55"/>
        <v>0</v>
      </c>
      <c r="M47" s="66">
        <f t="shared" si="56"/>
        <v>0</v>
      </c>
      <c r="N47" s="19">
        <f t="shared" si="57"/>
        <v>0</v>
      </c>
      <c r="O47" s="19">
        <f t="shared" si="29"/>
        <v>8283</v>
      </c>
      <c r="P47" s="13">
        <f t="shared" si="58"/>
        <v>31258</v>
      </c>
      <c r="Q47" s="390">
        <f t="shared" si="30"/>
        <v>3855</v>
      </c>
      <c r="R47" s="390">
        <f t="shared" si="59"/>
        <v>120499590</v>
      </c>
      <c r="S47" s="390">
        <f>'Table 6 (Local Deduct Calc.)'!J48</f>
        <v>31493592</v>
      </c>
      <c r="T47" s="390">
        <f t="shared" si="31"/>
        <v>31493592</v>
      </c>
      <c r="U47" s="391">
        <f t="shared" si="32"/>
        <v>89005998</v>
      </c>
      <c r="V47" s="392">
        <f t="shared" si="52"/>
        <v>0.73860000000000003</v>
      </c>
      <c r="W47" s="393">
        <f t="shared" si="33"/>
        <v>0.26140000000000002</v>
      </c>
      <c r="X47" s="394">
        <f t="shared" si="60"/>
        <v>1370.7765832426551</v>
      </c>
      <c r="Y47" s="390">
        <f>'Table 7 Local Revenue'!AQ47</f>
        <v>69278485</v>
      </c>
      <c r="Z47" s="390">
        <f t="shared" si="34"/>
        <v>37784893</v>
      </c>
      <c r="AA47" s="281">
        <f t="shared" si="35"/>
        <v>0</v>
      </c>
      <c r="AB47" s="20">
        <f t="shared" si="36"/>
        <v>40969860.600000001</v>
      </c>
      <c r="AC47" s="20">
        <f t="shared" si="37"/>
        <v>37784893</v>
      </c>
      <c r="AD47" s="390">
        <f t="shared" si="38"/>
        <v>16988390.171944</v>
      </c>
      <c r="AE47" s="395">
        <f t="shared" si="39"/>
        <v>20796502.828056</v>
      </c>
      <c r="AF47" s="274">
        <f t="shared" si="40"/>
        <v>0.5504</v>
      </c>
      <c r="AG47" s="395">
        <f t="shared" si="41"/>
        <v>109802500.82805601</v>
      </c>
      <c r="AH47" s="20">
        <f t="shared" si="61"/>
        <v>4779</v>
      </c>
      <c r="AI47" s="395">
        <f>'Table 4 Level 3'!O45</f>
        <v>3429728</v>
      </c>
      <c r="AJ47" s="20">
        <f t="shared" si="62"/>
        <v>149.28087051142546</v>
      </c>
      <c r="AK47" s="395">
        <f t="shared" si="42"/>
        <v>113232228.82805601</v>
      </c>
      <c r="AL47" s="20">
        <f t="shared" si="63"/>
        <v>4928.4974462701202</v>
      </c>
      <c r="AM47" s="507">
        <f>'Table 4 Level 3'!R45</f>
        <v>19518431.25</v>
      </c>
      <c r="AN47" s="508">
        <f t="shared" si="64"/>
        <v>849.5508705114255</v>
      </c>
      <c r="AO47" s="395">
        <f t="shared" si="43"/>
        <v>129320932.07805601</v>
      </c>
      <c r="AP47" s="20">
        <f t="shared" si="65"/>
        <v>5628.7674462701198</v>
      </c>
      <c r="AQ47" s="274">
        <f t="shared" si="44"/>
        <v>0.65116471126009745</v>
      </c>
      <c r="AR47" s="396">
        <f t="shared" si="45"/>
        <v>34</v>
      </c>
      <c r="AS47" s="20">
        <f t="shared" si="46"/>
        <v>69278485</v>
      </c>
      <c r="AT47" s="20">
        <f t="shared" si="66"/>
        <v>3015.39</v>
      </c>
      <c r="AU47" s="396">
        <f t="shared" si="47"/>
        <v>42</v>
      </c>
      <c r="AV47" s="274">
        <f t="shared" si="48"/>
        <v>0.34883528873990255</v>
      </c>
      <c r="AW47" s="396">
        <f t="shared" si="49"/>
        <v>198599417.07805601</v>
      </c>
      <c r="AX47" s="397">
        <f t="shared" si="67"/>
        <v>8644.153082831599</v>
      </c>
      <c r="AY47" s="396">
        <f t="shared" si="50"/>
        <v>42</v>
      </c>
      <c r="AZ47" s="1213">
        <v>128436293.24095778</v>
      </c>
      <c r="BA47" s="281">
        <f t="shared" si="51"/>
        <v>884638.83709822595</v>
      </c>
      <c r="BB47" s="1874"/>
      <c r="BC47" s="347"/>
      <c r="BD47" s="347"/>
      <c r="BE47" s="347"/>
      <c r="BF47" s="347"/>
      <c r="BG47" s="347"/>
      <c r="BH47" s="347"/>
      <c r="BI47" s="347"/>
      <c r="BJ47" s="347"/>
      <c r="BK47" s="347"/>
      <c r="BL47" s="168"/>
      <c r="BM47" s="168"/>
      <c r="BN47" s="1899"/>
      <c r="BO47" s="168"/>
      <c r="BP47" s="168"/>
      <c r="BQ47" s="1882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</row>
    <row r="48" spans="1:149" s="5" customFormat="1">
      <c r="A48" s="101">
        <v>41</v>
      </c>
      <c r="B48" s="81" t="s">
        <v>133</v>
      </c>
      <c r="C48" s="593">
        <f>'2-1-13 SIS'!S47</f>
        <v>1411</v>
      </c>
      <c r="D48" s="593">
        <f>'[3]2-1-13-Supreme Court Ruling'!AE46</f>
        <v>1224</v>
      </c>
      <c r="E48" s="593">
        <f t="shared" si="53"/>
        <v>269</v>
      </c>
      <c r="F48" s="593">
        <f>'[4]CTE-Oct 2012-Supreme Court'!AC47</f>
        <v>841.5</v>
      </c>
      <c r="G48" s="593">
        <f t="shared" si="54"/>
        <v>50</v>
      </c>
      <c r="H48" s="1288">
        <f>'[5]SWD 2-1-13 Supreme Court'!Z46</f>
        <v>124</v>
      </c>
      <c r="I48" s="1288">
        <f t="shared" si="27"/>
        <v>186</v>
      </c>
      <c r="J48" s="1288">
        <f>'[6]GT_PS-12th Supreme Court'!T45</f>
        <v>3</v>
      </c>
      <c r="K48" s="1288">
        <f t="shared" si="28"/>
        <v>1.7999999999999998</v>
      </c>
      <c r="L48" s="13">
        <f t="shared" si="55"/>
        <v>6089</v>
      </c>
      <c r="M48" s="65">
        <f t="shared" si="56"/>
        <v>0.16236999999999999</v>
      </c>
      <c r="N48" s="13">
        <f t="shared" si="57"/>
        <v>229</v>
      </c>
      <c r="O48" s="13">
        <f t="shared" si="29"/>
        <v>735.8</v>
      </c>
      <c r="P48" s="36">
        <f t="shared" si="58"/>
        <v>2146.8000000000002</v>
      </c>
      <c r="Q48" s="383">
        <f t="shared" si="30"/>
        <v>3855</v>
      </c>
      <c r="R48" s="383">
        <f t="shared" si="59"/>
        <v>8275914</v>
      </c>
      <c r="S48" s="383">
        <f>'Table 6 (Local Deduct Calc.)'!J49</f>
        <v>6265985.5</v>
      </c>
      <c r="T48" s="383">
        <f t="shared" si="31"/>
        <v>6206935.5</v>
      </c>
      <c r="U48" s="384">
        <f t="shared" si="32"/>
        <v>2068978.5</v>
      </c>
      <c r="V48" s="385">
        <f t="shared" si="52"/>
        <v>0.25</v>
      </c>
      <c r="W48" s="385">
        <f t="shared" si="33"/>
        <v>0.75</v>
      </c>
      <c r="X48" s="386">
        <f t="shared" si="60"/>
        <v>4398.9620836286322</v>
      </c>
      <c r="Y48" s="383">
        <f>'Table 7 Local Revenue'!AQ48</f>
        <v>16622789.5</v>
      </c>
      <c r="Z48" s="383">
        <f t="shared" si="34"/>
        <v>10415854</v>
      </c>
      <c r="AA48" s="280">
        <f t="shared" si="35"/>
        <v>0</v>
      </c>
      <c r="AB48" s="14">
        <f t="shared" si="36"/>
        <v>2813810.7600000002</v>
      </c>
      <c r="AC48" s="14">
        <f t="shared" si="37"/>
        <v>2813810.7600000002</v>
      </c>
      <c r="AD48" s="383">
        <f t="shared" si="38"/>
        <v>3629815.8804000006</v>
      </c>
      <c r="AE48" s="387">
        <f t="shared" si="39"/>
        <v>0</v>
      </c>
      <c r="AF48" s="16">
        <f t="shared" si="40"/>
        <v>0</v>
      </c>
      <c r="AG48" s="387">
        <f t="shared" si="41"/>
        <v>2068978.5</v>
      </c>
      <c r="AH48" s="14">
        <f t="shared" si="61"/>
        <v>1466</v>
      </c>
      <c r="AI48" s="387">
        <f>'Table 4 Level 3'!O46</f>
        <v>210635</v>
      </c>
      <c r="AJ48" s="14">
        <f t="shared" si="62"/>
        <v>149.28065201984407</v>
      </c>
      <c r="AK48" s="387">
        <f t="shared" si="42"/>
        <v>2279613.5</v>
      </c>
      <c r="AL48" s="14">
        <f t="shared" si="63"/>
        <v>1615.6013465627216</v>
      </c>
      <c r="AM48" s="505">
        <f>'Table 4 Level 3'!R46</f>
        <v>1461091.42</v>
      </c>
      <c r="AN48" s="506">
        <f t="shared" si="64"/>
        <v>1035.500652019844</v>
      </c>
      <c r="AO48" s="387">
        <f t="shared" si="43"/>
        <v>3530069.92</v>
      </c>
      <c r="AP48" s="14">
        <f t="shared" si="65"/>
        <v>2501.8213465627214</v>
      </c>
      <c r="AQ48" s="16">
        <f t="shared" si="44"/>
        <v>0.28126218003457365</v>
      </c>
      <c r="AR48" s="388">
        <f t="shared" si="45"/>
        <v>68</v>
      </c>
      <c r="AS48" s="14">
        <f t="shared" si="46"/>
        <v>9020746.2599999998</v>
      </c>
      <c r="AT48" s="14">
        <f t="shared" si="66"/>
        <v>6393.16</v>
      </c>
      <c r="AU48" s="388">
        <f t="shared" si="47"/>
        <v>1</v>
      </c>
      <c r="AV48" s="16">
        <f t="shared" si="48"/>
        <v>0.71873781996542629</v>
      </c>
      <c r="AW48" s="388">
        <f t="shared" si="49"/>
        <v>12550816.18</v>
      </c>
      <c r="AX48" s="389">
        <f t="shared" si="67"/>
        <v>8894.9795747696662</v>
      </c>
      <c r="AY48" s="388">
        <f t="shared" si="50"/>
        <v>30</v>
      </c>
      <c r="AZ48" s="1212">
        <v>3509707.1739999996</v>
      </c>
      <c r="BA48" s="280">
        <f t="shared" si="51"/>
        <v>20362.746000000276</v>
      </c>
      <c r="BB48" s="1872"/>
      <c r="BC48" s="347"/>
      <c r="BD48" s="347"/>
      <c r="BE48" s="347"/>
      <c r="BF48" s="347"/>
      <c r="BG48" s="347"/>
      <c r="BH48" s="347"/>
      <c r="BI48" s="347"/>
      <c r="BJ48" s="347"/>
      <c r="BK48" s="347"/>
      <c r="BL48" s="168"/>
      <c r="BM48" s="168"/>
      <c r="BN48" s="1899"/>
      <c r="BO48" s="168"/>
      <c r="BP48" s="168"/>
      <c r="BQ48" s="1881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</row>
    <row r="49" spans="1:149" s="5" customFormat="1">
      <c r="A49" s="101">
        <v>42</v>
      </c>
      <c r="B49" s="81" t="s">
        <v>134</v>
      </c>
      <c r="C49" s="593">
        <f>'2-1-13 SIS'!S48</f>
        <v>3442</v>
      </c>
      <c r="D49" s="593">
        <f>'[3]2-1-13-Supreme Court Ruling'!AE47</f>
        <v>2897</v>
      </c>
      <c r="E49" s="593">
        <f t="shared" si="53"/>
        <v>637</v>
      </c>
      <c r="F49" s="593">
        <f>'[4]CTE-Oct 2012-Supreme Court'!AC48</f>
        <v>858.5</v>
      </c>
      <c r="G49" s="593">
        <f t="shared" si="54"/>
        <v>52</v>
      </c>
      <c r="H49" s="1288">
        <f>'[5]SWD 2-1-13 Supreme Court'!Z47</f>
        <v>378</v>
      </c>
      <c r="I49" s="1288">
        <f t="shared" si="27"/>
        <v>567</v>
      </c>
      <c r="J49" s="1288">
        <f>'[6]GT_PS-12th Supreme Court'!T46</f>
        <v>51</v>
      </c>
      <c r="K49" s="1288">
        <f t="shared" si="28"/>
        <v>30.599999999999998</v>
      </c>
      <c r="L49" s="13">
        <f t="shared" si="55"/>
        <v>4058</v>
      </c>
      <c r="M49" s="65">
        <f t="shared" si="56"/>
        <v>0.10821</v>
      </c>
      <c r="N49" s="13">
        <f t="shared" si="57"/>
        <v>372</v>
      </c>
      <c r="O49" s="13">
        <f t="shared" si="29"/>
        <v>1658.6</v>
      </c>
      <c r="P49" s="13">
        <f t="shared" si="58"/>
        <v>5100.6000000000004</v>
      </c>
      <c r="Q49" s="383">
        <f t="shared" si="30"/>
        <v>3855</v>
      </c>
      <c r="R49" s="383">
        <f t="shared" si="59"/>
        <v>19662813</v>
      </c>
      <c r="S49" s="383">
        <f>'Table 6 (Local Deduct Calc.)'!J50</f>
        <v>5278332</v>
      </c>
      <c r="T49" s="383">
        <f t="shared" si="31"/>
        <v>5278332</v>
      </c>
      <c r="U49" s="384">
        <f t="shared" si="32"/>
        <v>14384481</v>
      </c>
      <c r="V49" s="385">
        <f t="shared" si="52"/>
        <v>0.73160000000000003</v>
      </c>
      <c r="W49" s="385">
        <f t="shared" si="33"/>
        <v>0.26840000000000003</v>
      </c>
      <c r="X49" s="386">
        <f t="shared" si="60"/>
        <v>1533.5072632190586</v>
      </c>
      <c r="Y49" s="383">
        <f>'Table 7 Local Revenue'!AQ49</f>
        <v>10131618</v>
      </c>
      <c r="Z49" s="383">
        <f t="shared" si="34"/>
        <v>4853286</v>
      </c>
      <c r="AA49" s="280">
        <f t="shared" si="35"/>
        <v>0</v>
      </c>
      <c r="AB49" s="14">
        <f t="shared" si="36"/>
        <v>6685356.4200000009</v>
      </c>
      <c r="AC49" s="14">
        <f t="shared" si="37"/>
        <v>4853286</v>
      </c>
      <c r="AD49" s="383">
        <f t="shared" si="38"/>
        <v>2240509.7753280001</v>
      </c>
      <c r="AE49" s="387">
        <f t="shared" si="39"/>
        <v>2612776.2246719999</v>
      </c>
      <c r="AF49" s="16">
        <f t="shared" si="40"/>
        <v>0.53839999999999999</v>
      </c>
      <c r="AG49" s="387">
        <f t="shared" si="41"/>
        <v>16997257.224672001</v>
      </c>
      <c r="AH49" s="14">
        <f t="shared" si="61"/>
        <v>4938</v>
      </c>
      <c r="AI49" s="387">
        <f>'Table 4 Level 3'!O47</f>
        <v>513825</v>
      </c>
      <c r="AJ49" s="14">
        <f t="shared" si="62"/>
        <v>149.28094131319</v>
      </c>
      <c r="AK49" s="387">
        <f t="shared" si="42"/>
        <v>17511082.224672001</v>
      </c>
      <c r="AL49" s="14">
        <f t="shared" si="63"/>
        <v>5087.4730460987803</v>
      </c>
      <c r="AM49" s="505">
        <f>'Table 4 Level 3'!R47</f>
        <v>2352816.7599999998</v>
      </c>
      <c r="AN49" s="506">
        <f t="shared" si="64"/>
        <v>683.56094131318991</v>
      </c>
      <c r="AO49" s="387">
        <f t="shared" si="43"/>
        <v>19350073.984672002</v>
      </c>
      <c r="AP49" s="14">
        <f t="shared" si="65"/>
        <v>5621.7530460987809</v>
      </c>
      <c r="AQ49" s="16">
        <f t="shared" si="44"/>
        <v>0.65634204423316045</v>
      </c>
      <c r="AR49" s="388">
        <f t="shared" si="45"/>
        <v>32</v>
      </c>
      <c r="AS49" s="14">
        <f t="shared" si="46"/>
        <v>10131618</v>
      </c>
      <c r="AT49" s="14">
        <f t="shared" si="66"/>
        <v>2943.53</v>
      </c>
      <c r="AU49" s="388">
        <f t="shared" si="47"/>
        <v>44</v>
      </c>
      <c r="AV49" s="16">
        <f t="shared" si="48"/>
        <v>0.34365795576683961</v>
      </c>
      <c r="AW49" s="388">
        <f t="shared" si="49"/>
        <v>29481691.984672002</v>
      </c>
      <c r="AX49" s="389">
        <f t="shared" si="67"/>
        <v>8565.2794842161547</v>
      </c>
      <c r="AY49" s="388">
        <f t="shared" si="50"/>
        <v>47</v>
      </c>
      <c r="AZ49" s="1212">
        <v>22201766.148655534</v>
      </c>
      <c r="BA49" s="280">
        <f t="shared" si="51"/>
        <v>-2851692.1639835313</v>
      </c>
      <c r="BB49" s="1872"/>
      <c r="BC49" s="347"/>
      <c r="BD49" s="347"/>
      <c r="BE49" s="347"/>
      <c r="BF49" s="347"/>
      <c r="BG49" s="347"/>
      <c r="BH49" s="347"/>
      <c r="BI49" s="347"/>
      <c r="BJ49" s="347"/>
      <c r="BK49" s="347"/>
      <c r="BL49" s="168"/>
      <c r="BM49" s="168"/>
      <c r="BN49" s="1899"/>
      <c r="BO49" s="168"/>
      <c r="BP49" s="168"/>
      <c r="BQ49" s="1881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</row>
    <row r="50" spans="1:149" s="5" customFormat="1">
      <c r="A50" s="101">
        <v>43</v>
      </c>
      <c r="B50" s="81" t="s">
        <v>135</v>
      </c>
      <c r="C50" s="81">
        <f>'2-1-13 SIS'!S49</f>
        <v>4023</v>
      </c>
      <c r="D50" s="81">
        <f>'[3]2-1-13-Supreme Court Ruling'!AE48</f>
        <v>2750</v>
      </c>
      <c r="E50" s="81">
        <f t="shared" si="53"/>
        <v>605</v>
      </c>
      <c r="F50" s="81">
        <f>'[4]CTE-Oct 2012-Supreme Court'!AC49</f>
        <v>1513.5</v>
      </c>
      <c r="G50" s="81">
        <f t="shared" si="54"/>
        <v>91</v>
      </c>
      <c r="H50" s="1287">
        <f>'[5]SWD 2-1-13 Supreme Court'!Z48</f>
        <v>535</v>
      </c>
      <c r="I50" s="1287">
        <f t="shared" si="27"/>
        <v>802.5</v>
      </c>
      <c r="J50" s="1287">
        <f>'[6]GT_PS-12th Supreme Court'!T47</f>
        <v>108</v>
      </c>
      <c r="K50" s="1287">
        <f t="shared" si="28"/>
        <v>64.8</v>
      </c>
      <c r="L50" s="13">
        <f t="shared" si="55"/>
        <v>3477</v>
      </c>
      <c r="M50" s="65">
        <f t="shared" si="56"/>
        <v>9.2719999999999997E-2</v>
      </c>
      <c r="N50" s="13">
        <f t="shared" si="57"/>
        <v>373</v>
      </c>
      <c r="O50" s="13">
        <f t="shared" si="29"/>
        <v>1936.3</v>
      </c>
      <c r="P50" s="13">
        <f t="shared" si="58"/>
        <v>5959.3</v>
      </c>
      <c r="Q50" s="383">
        <f t="shared" si="30"/>
        <v>3855</v>
      </c>
      <c r="R50" s="383">
        <f t="shared" si="59"/>
        <v>22973102</v>
      </c>
      <c r="S50" s="383">
        <f>'Table 6 (Local Deduct Calc.)'!J51</f>
        <v>7827445.5</v>
      </c>
      <c r="T50" s="383">
        <f t="shared" si="31"/>
        <v>7827445.5</v>
      </c>
      <c r="U50" s="384">
        <f t="shared" si="32"/>
        <v>15145656.5</v>
      </c>
      <c r="V50" s="385">
        <f t="shared" si="52"/>
        <v>0.6593</v>
      </c>
      <c r="W50" s="385">
        <f t="shared" si="33"/>
        <v>0.3407</v>
      </c>
      <c r="X50" s="386">
        <f t="shared" si="60"/>
        <v>1945.6737509321401</v>
      </c>
      <c r="Y50" s="383">
        <f>'Table 7 Local Revenue'!AQ50</f>
        <v>21342622.5</v>
      </c>
      <c r="Z50" s="383">
        <f t="shared" si="34"/>
        <v>13515177</v>
      </c>
      <c r="AA50" s="280">
        <f t="shared" si="35"/>
        <v>0</v>
      </c>
      <c r="AB50" s="14">
        <f t="shared" si="36"/>
        <v>7810854.6800000006</v>
      </c>
      <c r="AC50" s="14">
        <f t="shared" si="37"/>
        <v>7810854.6800000006</v>
      </c>
      <c r="AD50" s="383">
        <f t="shared" si="38"/>
        <v>4577192.0858987197</v>
      </c>
      <c r="AE50" s="387">
        <f t="shared" si="39"/>
        <v>3233662.5941012809</v>
      </c>
      <c r="AF50" s="16">
        <f t="shared" si="40"/>
        <v>0.41399999999999998</v>
      </c>
      <c r="AG50" s="387">
        <f t="shared" si="41"/>
        <v>18379319.09410128</v>
      </c>
      <c r="AH50" s="14">
        <f t="shared" si="61"/>
        <v>4569</v>
      </c>
      <c r="AI50" s="387">
        <f>'Table 4 Level 3'!O48</f>
        <v>600557</v>
      </c>
      <c r="AJ50" s="14">
        <f t="shared" si="62"/>
        <v>149.2808849117574</v>
      </c>
      <c r="AK50" s="387">
        <f t="shared" si="42"/>
        <v>18979876.09410128</v>
      </c>
      <c r="AL50" s="14">
        <f t="shared" si="63"/>
        <v>4717.8414352725031</v>
      </c>
      <c r="AM50" s="505">
        <f>'Table 4 Level 3'!R48</f>
        <v>2912213.03</v>
      </c>
      <c r="AN50" s="506">
        <f t="shared" si="64"/>
        <v>723.89088491175733</v>
      </c>
      <c r="AO50" s="387">
        <f t="shared" si="43"/>
        <v>21291532.124101281</v>
      </c>
      <c r="AP50" s="14">
        <f t="shared" si="65"/>
        <v>5292.4514352725037</v>
      </c>
      <c r="AQ50" s="16">
        <f t="shared" si="44"/>
        <v>0.57654017892024734</v>
      </c>
      <c r="AR50" s="388">
        <f t="shared" si="45"/>
        <v>48</v>
      </c>
      <c r="AS50" s="14">
        <f t="shared" si="46"/>
        <v>15638300.18</v>
      </c>
      <c r="AT50" s="14">
        <f t="shared" si="66"/>
        <v>3887.22</v>
      </c>
      <c r="AU50" s="388">
        <f t="shared" si="47"/>
        <v>21</v>
      </c>
      <c r="AV50" s="16">
        <f t="shared" si="48"/>
        <v>0.42345982107975272</v>
      </c>
      <c r="AW50" s="388">
        <f t="shared" si="49"/>
        <v>36929832.304101281</v>
      </c>
      <c r="AX50" s="389">
        <f t="shared" si="67"/>
        <v>9179.6749450910465</v>
      </c>
      <c r="AY50" s="388">
        <f t="shared" si="50"/>
        <v>17</v>
      </c>
      <c r="AZ50" s="1212">
        <v>24566524.780017599</v>
      </c>
      <c r="BA50" s="280">
        <f t="shared" si="51"/>
        <v>-3274992.6559163183</v>
      </c>
      <c r="BB50" s="1873"/>
      <c r="BC50" s="347"/>
      <c r="BD50" s="347"/>
      <c r="BE50" s="347"/>
      <c r="BF50" s="347"/>
      <c r="BG50" s="347"/>
      <c r="BH50" s="347"/>
      <c r="BI50" s="347"/>
      <c r="BJ50" s="347"/>
      <c r="BK50" s="347"/>
      <c r="BL50" s="168"/>
      <c r="BM50" s="168"/>
      <c r="BN50" s="1899"/>
      <c r="BO50" s="168"/>
      <c r="BP50" s="168"/>
      <c r="BQ50" s="1881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</row>
    <row r="51" spans="1:149" s="5" customFormat="1">
      <c r="A51" s="101">
        <v>44</v>
      </c>
      <c r="B51" s="81" t="s">
        <v>136</v>
      </c>
      <c r="C51" s="81">
        <f>'2-1-13 SIS'!S50</f>
        <v>6380</v>
      </c>
      <c r="D51" s="81">
        <f>'[3]2-1-13-Supreme Court Ruling'!AE49</f>
        <v>4886</v>
      </c>
      <c r="E51" s="81">
        <f t="shared" si="53"/>
        <v>1075</v>
      </c>
      <c r="F51" s="81">
        <f>'[4]CTE-Oct 2012-Supreme Court'!AC50</f>
        <v>1797</v>
      </c>
      <c r="G51" s="81">
        <f t="shared" si="54"/>
        <v>108</v>
      </c>
      <c r="H51" s="1287">
        <f>'[5]SWD 2-1-13 Supreme Court'!Z49</f>
        <v>694</v>
      </c>
      <c r="I51" s="1287">
        <f t="shared" si="27"/>
        <v>1041</v>
      </c>
      <c r="J51" s="1287">
        <f>'[6]GT_PS-12th Supreme Court'!T48</f>
        <v>138</v>
      </c>
      <c r="K51" s="1287">
        <f t="shared" si="28"/>
        <v>82.8</v>
      </c>
      <c r="L51" s="13">
        <f t="shared" si="55"/>
        <v>1120</v>
      </c>
      <c r="M51" s="65">
        <f t="shared" si="56"/>
        <v>2.9870000000000001E-2</v>
      </c>
      <c r="N51" s="13">
        <f t="shared" si="57"/>
        <v>191</v>
      </c>
      <c r="O51" s="13">
        <f t="shared" si="29"/>
        <v>2497.8000000000002</v>
      </c>
      <c r="P51" s="13">
        <f t="shared" si="58"/>
        <v>8877.7999999999993</v>
      </c>
      <c r="Q51" s="383">
        <f t="shared" si="30"/>
        <v>3855</v>
      </c>
      <c r="R51" s="383">
        <f t="shared" si="59"/>
        <v>34223919</v>
      </c>
      <c r="S51" s="383">
        <f>'Table 6 (Local Deduct Calc.)'!J52</f>
        <v>10631620</v>
      </c>
      <c r="T51" s="383">
        <f t="shared" si="31"/>
        <v>10631620</v>
      </c>
      <c r="U51" s="384">
        <f t="shared" si="32"/>
        <v>23592299</v>
      </c>
      <c r="V51" s="385">
        <f t="shared" si="52"/>
        <v>0.68940000000000001</v>
      </c>
      <c r="W51" s="385">
        <f t="shared" si="33"/>
        <v>0.31059999999999999</v>
      </c>
      <c r="X51" s="386">
        <f t="shared" si="60"/>
        <v>1666.398119122257</v>
      </c>
      <c r="Y51" s="383">
        <f>'Table 7 Local Revenue'!AQ51</f>
        <v>26968985</v>
      </c>
      <c r="Z51" s="383">
        <f t="shared" si="34"/>
        <v>16337365</v>
      </c>
      <c r="AA51" s="280">
        <f t="shared" si="35"/>
        <v>0</v>
      </c>
      <c r="AB51" s="14">
        <f t="shared" si="36"/>
        <v>11636132.460000001</v>
      </c>
      <c r="AC51" s="14">
        <f t="shared" si="37"/>
        <v>11636132.460000001</v>
      </c>
      <c r="AD51" s="383">
        <f t="shared" si="38"/>
        <v>6216394.31637072</v>
      </c>
      <c r="AE51" s="387">
        <f t="shared" si="39"/>
        <v>5419738.1436292809</v>
      </c>
      <c r="AF51" s="16">
        <f t="shared" si="40"/>
        <v>0.46579999999999999</v>
      </c>
      <c r="AG51" s="387">
        <f t="shared" si="41"/>
        <v>29012037.143629283</v>
      </c>
      <c r="AH51" s="14">
        <f t="shared" si="61"/>
        <v>4547</v>
      </c>
      <c r="AI51" s="387">
        <f>'Table 4 Level 3'!O49</f>
        <v>952412</v>
      </c>
      <c r="AJ51" s="14">
        <f t="shared" si="62"/>
        <v>149.2808777429467</v>
      </c>
      <c r="AK51" s="387">
        <f t="shared" si="42"/>
        <v>29964449.143629283</v>
      </c>
      <c r="AL51" s="14">
        <f t="shared" si="63"/>
        <v>4696.6221228259064</v>
      </c>
      <c r="AM51" s="505">
        <f>'Table 4 Level 3'!R49</f>
        <v>5183372.8000000007</v>
      </c>
      <c r="AN51" s="506">
        <f t="shared" si="64"/>
        <v>812.44087774294678</v>
      </c>
      <c r="AO51" s="387">
        <f t="shared" si="43"/>
        <v>34195409.94362928</v>
      </c>
      <c r="AP51" s="14">
        <f t="shared" si="65"/>
        <v>5359.7821228259063</v>
      </c>
      <c r="AQ51" s="16">
        <f t="shared" si="44"/>
        <v>0.60562335667956324</v>
      </c>
      <c r="AR51" s="388">
        <f t="shared" si="45"/>
        <v>41</v>
      </c>
      <c r="AS51" s="14">
        <f t="shared" si="46"/>
        <v>22267752.460000001</v>
      </c>
      <c r="AT51" s="14">
        <f t="shared" si="66"/>
        <v>3490.24</v>
      </c>
      <c r="AU51" s="388">
        <f t="shared" si="47"/>
        <v>29</v>
      </c>
      <c r="AV51" s="16">
        <f t="shared" si="48"/>
        <v>0.39437664332043676</v>
      </c>
      <c r="AW51" s="388">
        <f t="shared" si="49"/>
        <v>56463162.403629281</v>
      </c>
      <c r="AX51" s="389">
        <f t="shared" si="67"/>
        <v>8850.025455114308</v>
      </c>
      <c r="AY51" s="388">
        <f t="shared" si="50"/>
        <v>35</v>
      </c>
      <c r="AZ51" s="1212">
        <v>28065832.11128547</v>
      </c>
      <c r="BA51" s="280">
        <f t="shared" si="51"/>
        <v>6129577.8323438093</v>
      </c>
      <c r="BB51" s="1872"/>
      <c r="BC51" s="347"/>
      <c r="BD51" s="347"/>
      <c r="BE51" s="347"/>
      <c r="BF51" s="347"/>
      <c r="BG51" s="347"/>
      <c r="BH51" s="347"/>
      <c r="BI51" s="347"/>
      <c r="BJ51" s="347"/>
      <c r="BK51" s="347"/>
      <c r="BL51" s="168"/>
      <c r="BM51" s="168"/>
      <c r="BN51" s="1899"/>
      <c r="BO51" s="168"/>
      <c r="BP51" s="168"/>
      <c r="BQ51" s="188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</row>
    <row r="52" spans="1:149" s="21" customFormat="1">
      <c r="A52" s="102">
        <v>45</v>
      </c>
      <c r="B52" s="82" t="s">
        <v>137</v>
      </c>
      <c r="C52" s="82">
        <f>'2-1-13 SIS'!S51</f>
        <v>9478</v>
      </c>
      <c r="D52" s="82">
        <f>'[3]2-1-13-Supreme Court Ruling'!AE50</f>
        <v>5015</v>
      </c>
      <c r="E52" s="82">
        <f t="shared" si="53"/>
        <v>1103</v>
      </c>
      <c r="F52" s="82">
        <f>'[4]CTE-Oct 2012-Supreme Court'!AC51</f>
        <v>4040</v>
      </c>
      <c r="G52" s="82">
        <f t="shared" si="54"/>
        <v>242</v>
      </c>
      <c r="H52" s="82">
        <f>'[5]SWD 2-1-13 Supreme Court'!Z50</f>
        <v>929</v>
      </c>
      <c r="I52" s="82">
        <f t="shared" si="27"/>
        <v>1393.5</v>
      </c>
      <c r="J52" s="82">
        <f>'[6]GT_PS-12th Supreme Court'!T49</f>
        <v>492</v>
      </c>
      <c r="K52" s="82">
        <f t="shared" si="28"/>
        <v>295.2</v>
      </c>
      <c r="L52" s="19">
        <f t="shared" si="55"/>
        <v>0</v>
      </c>
      <c r="M52" s="66">
        <f t="shared" si="56"/>
        <v>0</v>
      </c>
      <c r="N52" s="19">
        <f t="shared" si="57"/>
        <v>0</v>
      </c>
      <c r="O52" s="19">
        <f t="shared" si="29"/>
        <v>3033.7</v>
      </c>
      <c r="P52" s="13">
        <f t="shared" si="58"/>
        <v>12511.7</v>
      </c>
      <c r="Q52" s="390">
        <f t="shared" si="30"/>
        <v>3855</v>
      </c>
      <c r="R52" s="390">
        <f t="shared" si="59"/>
        <v>48232604</v>
      </c>
      <c r="S52" s="390">
        <f>'Table 6 (Local Deduct Calc.)'!J53</f>
        <v>32896852</v>
      </c>
      <c r="T52" s="390">
        <f t="shared" si="31"/>
        <v>32896852</v>
      </c>
      <c r="U52" s="391">
        <f t="shared" si="32"/>
        <v>15335752</v>
      </c>
      <c r="V52" s="392">
        <f t="shared" si="52"/>
        <v>0.318</v>
      </c>
      <c r="W52" s="393">
        <f t="shared" si="33"/>
        <v>0.68200000000000005</v>
      </c>
      <c r="X52" s="394">
        <f t="shared" si="60"/>
        <v>3470.8643173665332</v>
      </c>
      <c r="Y52" s="390">
        <f>'Table 7 Local Revenue'!AQ52</f>
        <v>118117440</v>
      </c>
      <c r="Z52" s="390">
        <f t="shared" si="34"/>
        <v>85220588</v>
      </c>
      <c r="AA52" s="281">
        <f t="shared" si="35"/>
        <v>0</v>
      </c>
      <c r="AB52" s="20">
        <f t="shared" si="36"/>
        <v>16399085.360000001</v>
      </c>
      <c r="AC52" s="20">
        <f t="shared" si="37"/>
        <v>16399085.360000001</v>
      </c>
      <c r="AD52" s="390">
        <f t="shared" si="38"/>
        <v>19236783.090694401</v>
      </c>
      <c r="AE52" s="395">
        <f t="shared" si="39"/>
        <v>0</v>
      </c>
      <c r="AF52" s="274">
        <f t="shared" si="40"/>
        <v>0</v>
      </c>
      <c r="AG52" s="395">
        <f t="shared" si="41"/>
        <v>15335752</v>
      </c>
      <c r="AH52" s="20">
        <f t="shared" si="61"/>
        <v>1618</v>
      </c>
      <c r="AI52" s="395">
        <f>'Table 4 Level 3'!O50</f>
        <v>5444682</v>
      </c>
      <c r="AJ52" s="20">
        <f t="shared" si="62"/>
        <v>574.45473728634738</v>
      </c>
      <c r="AK52" s="395">
        <f t="shared" si="42"/>
        <v>20780434</v>
      </c>
      <c r="AL52" s="20">
        <f t="shared" si="63"/>
        <v>2192.4914538932262</v>
      </c>
      <c r="AM52" s="507">
        <f>'Table 4 Level 3'!R50</f>
        <v>12590714.880000003</v>
      </c>
      <c r="AN52" s="508">
        <f t="shared" si="64"/>
        <v>1328.4147372863476</v>
      </c>
      <c r="AO52" s="395">
        <f t="shared" si="43"/>
        <v>27926466.880000003</v>
      </c>
      <c r="AP52" s="20">
        <f t="shared" si="65"/>
        <v>2946.4514538932267</v>
      </c>
      <c r="AQ52" s="274">
        <f t="shared" si="44"/>
        <v>0.36163684820284997</v>
      </c>
      <c r="AR52" s="396">
        <f t="shared" si="45"/>
        <v>64</v>
      </c>
      <c r="AS52" s="20">
        <f t="shared" si="46"/>
        <v>49295937.359999999</v>
      </c>
      <c r="AT52" s="20">
        <f t="shared" si="66"/>
        <v>5201.09</v>
      </c>
      <c r="AU52" s="396">
        <f t="shared" si="47"/>
        <v>7</v>
      </c>
      <c r="AV52" s="274">
        <f t="shared" si="48"/>
        <v>0.63836315179714986</v>
      </c>
      <c r="AW52" s="396">
        <f t="shared" si="49"/>
        <v>77222404.24000001</v>
      </c>
      <c r="AX52" s="397">
        <f t="shared" si="67"/>
        <v>8147.5421228107207</v>
      </c>
      <c r="AY52" s="396">
        <f t="shared" si="50"/>
        <v>60</v>
      </c>
      <c r="AZ52" s="1213">
        <v>29871209.952447914</v>
      </c>
      <c r="BA52" s="281">
        <f t="shared" si="51"/>
        <v>-1944743.0724479109</v>
      </c>
      <c r="BB52" s="1876"/>
      <c r="BC52" s="347"/>
      <c r="BD52" s="347"/>
      <c r="BE52" s="347"/>
      <c r="BF52" s="347"/>
      <c r="BG52" s="347"/>
      <c r="BH52" s="347"/>
      <c r="BI52" s="347"/>
      <c r="BJ52" s="347"/>
      <c r="BK52" s="347"/>
      <c r="BL52" s="168"/>
      <c r="BM52" s="168"/>
      <c r="BN52" s="1899"/>
      <c r="BO52" s="168"/>
      <c r="BP52" s="168"/>
      <c r="BQ52" s="188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</row>
    <row r="53" spans="1:149" s="5" customFormat="1">
      <c r="A53" s="101">
        <v>46</v>
      </c>
      <c r="B53" s="81" t="s">
        <v>138</v>
      </c>
      <c r="C53" s="593">
        <f>'2-1-13 SIS'!S52</f>
        <v>1076</v>
      </c>
      <c r="D53" s="81">
        <f>'[3]2-1-13-Supreme Court Ruling'!AE51</f>
        <v>992</v>
      </c>
      <c r="E53" s="81">
        <f t="shared" si="53"/>
        <v>218</v>
      </c>
      <c r="F53" s="81">
        <f>'[4]CTE-Oct 2012-Supreme Court'!AC52</f>
        <v>313.5</v>
      </c>
      <c r="G53" s="81">
        <f t="shared" si="54"/>
        <v>19</v>
      </c>
      <c r="H53" s="1287">
        <f>'[5]SWD 2-1-13 Supreme Court'!Z51+10</f>
        <v>145</v>
      </c>
      <c r="I53" s="1287">
        <f t="shared" si="27"/>
        <v>217.5</v>
      </c>
      <c r="J53" s="1287">
        <f>'[6]GT_PS-12th Supreme Court'!T50</f>
        <v>14</v>
      </c>
      <c r="K53" s="1287">
        <f t="shared" si="28"/>
        <v>8.4</v>
      </c>
      <c r="L53" s="13">
        <f t="shared" si="55"/>
        <v>6424</v>
      </c>
      <c r="M53" s="65">
        <f t="shared" si="56"/>
        <v>0.17130999999999999</v>
      </c>
      <c r="N53" s="13">
        <f t="shared" si="57"/>
        <v>184</v>
      </c>
      <c r="O53" s="13">
        <f t="shared" si="29"/>
        <v>646.9</v>
      </c>
      <c r="P53" s="36">
        <f t="shared" si="58"/>
        <v>1722.9</v>
      </c>
      <c r="Q53" s="383">
        <f t="shared" si="30"/>
        <v>3855</v>
      </c>
      <c r="R53" s="383">
        <f t="shared" si="59"/>
        <v>6641780</v>
      </c>
      <c r="S53" s="383">
        <f>'Table 6 (Local Deduct Calc.)'!J54</f>
        <v>1298586</v>
      </c>
      <c r="T53" s="383">
        <f t="shared" si="31"/>
        <v>1298586</v>
      </c>
      <c r="U53" s="384">
        <f t="shared" si="32"/>
        <v>5343194</v>
      </c>
      <c r="V53" s="385">
        <f t="shared" si="52"/>
        <v>0.80449999999999999</v>
      </c>
      <c r="W53" s="385">
        <f t="shared" si="33"/>
        <v>0.19550000000000001</v>
      </c>
      <c r="X53" s="386">
        <f t="shared" si="60"/>
        <v>1206.8643122676581</v>
      </c>
      <c r="Y53" s="383">
        <f>'Table 7 Local Revenue'!AQ53</f>
        <v>2157106</v>
      </c>
      <c r="Z53" s="383">
        <f t="shared" si="34"/>
        <v>858520</v>
      </c>
      <c r="AA53" s="280">
        <f t="shared" si="35"/>
        <v>0</v>
      </c>
      <c r="AB53" s="14">
        <f t="shared" si="36"/>
        <v>2258205.2000000002</v>
      </c>
      <c r="AC53" s="14">
        <f t="shared" si="37"/>
        <v>858520</v>
      </c>
      <c r="AD53" s="383">
        <f t="shared" si="38"/>
        <v>288685.93520000001</v>
      </c>
      <c r="AE53" s="387">
        <f t="shared" si="39"/>
        <v>569834.06480000005</v>
      </c>
      <c r="AF53" s="16">
        <f t="shared" si="40"/>
        <v>0.66369999999999996</v>
      </c>
      <c r="AG53" s="387">
        <f t="shared" si="41"/>
        <v>5913028.0647999998</v>
      </c>
      <c r="AH53" s="14">
        <f t="shared" si="61"/>
        <v>5495</v>
      </c>
      <c r="AI53" s="387">
        <f>'Table 4 Level 3'!O51</f>
        <v>160626</v>
      </c>
      <c r="AJ53" s="14">
        <f t="shared" si="62"/>
        <v>149.2806691449814</v>
      </c>
      <c r="AK53" s="387">
        <f t="shared" si="42"/>
        <v>6073654.0647999998</v>
      </c>
      <c r="AL53" s="14">
        <f t="shared" si="63"/>
        <v>5644.6599115241634</v>
      </c>
      <c r="AM53" s="505">
        <f>'Table 4 Level 3'!R51</f>
        <v>944018.55999999994</v>
      </c>
      <c r="AN53" s="506">
        <f t="shared" si="64"/>
        <v>877.34066914498135</v>
      </c>
      <c r="AO53" s="387">
        <f t="shared" si="43"/>
        <v>6857046.6247999994</v>
      </c>
      <c r="AP53" s="14">
        <f t="shared" si="65"/>
        <v>6372.7199115241629</v>
      </c>
      <c r="AQ53" s="16">
        <f t="shared" si="44"/>
        <v>0.76069786148669061</v>
      </c>
      <c r="AR53" s="388">
        <f t="shared" si="45"/>
        <v>5</v>
      </c>
      <c r="AS53" s="14">
        <f t="shared" si="46"/>
        <v>2157106</v>
      </c>
      <c r="AT53" s="14">
        <f t="shared" si="66"/>
        <v>2004.75</v>
      </c>
      <c r="AU53" s="388">
        <f t="shared" si="47"/>
        <v>64</v>
      </c>
      <c r="AV53" s="16">
        <f t="shared" si="48"/>
        <v>0.23930213851330928</v>
      </c>
      <c r="AW53" s="388">
        <f t="shared" si="49"/>
        <v>9014152.6248000003</v>
      </c>
      <c r="AX53" s="389">
        <f t="shared" si="67"/>
        <v>8377.465264684015</v>
      </c>
      <c r="AY53" s="388">
        <f t="shared" si="50"/>
        <v>54</v>
      </c>
      <c r="AZ53" s="1212">
        <v>7161370.2294239998</v>
      </c>
      <c r="BA53" s="280">
        <f t="shared" si="51"/>
        <v>-304323.60462400038</v>
      </c>
      <c r="BB53" s="1872"/>
      <c r="BC53" s="347"/>
      <c r="BD53" s="347"/>
      <c r="BE53" s="347"/>
      <c r="BF53" s="347"/>
      <c r="BG53" s="347"/>
      <c r="BH53" s="347"/>
      <c r="BI53" s="347"/>
      <c r="BJ53" s="347"/>
      <c r="BK53" s="347"/>
      <c r="BL53" s="1900"/>
      <c r="BM53" s="1900"/>
      <c r="BN53" s="1901"/>
      <c r="BO53" s="1900"/>
      <c r="BP53" s="1900"/>
      <c r="BQ53" s="188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</row>
    <row r="54" spans="1:149" s="5" customFormat="1">
      <c r="A54" s="101">
        <v>47</v>
      </c>
      <c r="B54" s="81" t="s">
        <v>139</v>
      </c>
      <c r="C54" s="81">
        <f>'2-1-13 SIS'!S53</f>
        <v>3621</v>
      </c>
      <c r="D54" s="81">
        <f>'[3]2-1-13-Supreme Court Ruling'!AE52</f>
        <v>2579</v>
      </c>
      <c r="E54" s="81">
        <f t="shared" si="53"/>
        <v>567</v>
      </c>
      <c r="F54" s="81">
        <f>'[4]CTE-Oct 2012-Supreme Court'!AC53</f>
        <v>1639</v>
      </c>
      <c r="G54" s="81">
        <f t="shared" si="54"/>
        <v>98</v>
      </c>
      <c r="H54" s="1287">
        <f>'[5]SWD 2-1-13 Supreme Court'!Z52</f>
        <v>504</v>
      </c>
      <c r="I54" s="1287">
        <f t="shared" si="27"/>
        <v>756</v>
      </c>
      <c r="J54" s="1287">
        <f>'[6]GT_PS-12th Supreme Court'!T51</f>
        <v>74</v>
      </c>
      <c r="K54" s="1287">
        <f t="shared" si="28"/>
        <v>44.4</v>
      </c>
      <c r="L54" s="13">
        <f t="shared" si="55"/>
        <v>3879</v>
      </c>
      <c r="M54" s="65">
        <f t="shared" si="56"/>
        <v>0.10344</v>
      </c>
      <c r="N54" s="13">
        <f t="shared" si="57"/>
        <v>375</v>
      </c>
      <c r="O54" s="13">
        <f t="shared" si="29"/>
        <v>1840.4</v>
      </c>
      <c r="P54" s="13">
        <f t="shared" si="58"/>
        <v>5461.4</v>
      </c>
      <c r="Q54" s="383">
        <f t="shared" si="30"/>
        <v>3855</v>
      </c>
      <c r="R54" s="383">
        <f t="shared" si="59"/>
        <v>21053697</v>
      </c>
      <c r="S54" s="383">
        <f>'Table 6 (Local Deduct Calc.)'!J55</f>
        <v>12823711</v>
      </c>
      <c r="T54" s="383">
        <f t="shared" si="31"/>
        <v>12823711</v>
      </c>
      <c r="U54" s="384">
        <f t="shared" si="32"/>
        <v>8229986</v>
      </c>
      <c r="V54" s="385">
        <f t="shared" si="52"/>
        <v>0.39090000000000003</v>
      </c>
      <c r="W54" s="385">
        <f t="shared" si="33"/>
        <v>0.60909999999999997</v>
      </c>
      <c r="X54" s="386">
        <f t="shared" si="60"/>
        <v>3541.4832919083128</v>
      </c>
      <c r="Y54" s="383">
        <f>'Table 7 Local Revenue'!AQ54</f>
        <v>36744086</v>
      </c>
      <c r="Z54" s="383">
        <f t="shared" si="34"/>
        <v>23920375</v>
      </c>
      <c r="AA54" s="280">
        <f t="shared" si="35"/>
        <v>0</v>
      </c>
      <c r="AB54" s="14">
        <f t="shared" si="36"/>
        <v>7158256.9800000004</v>
      </c>
      <c r="AC54" s="14">
        <f t="shared" si="37"/>
        <v>7158256.9800000004</v>
      </c>
      <c r="AD54" s="383">
        <f t="shared" si="38"/>
        <v>7499362.241610961</v>
      </c>
      <c r="AE54" s="387">
        <f t="shared" si="39"/>
        <v>0</v>
      </c>
      <c r="AF54" s="16">
        <f t="shared" si="40"/>
        <v>0</v>
      </c>
      <c r="AG54" s="387">
        <f t="shared" si="41"/>
        <v>8229986</v>
      </c>
      <c r="AH54" s="14">
        <f t="shared" si="61"/>
        <v>2273</v>
      </c>
      <c r="AI54" s="387">
        <f>'Table 4 Level 3'!O52</f>
        <v>1659850</v>
      </c>
      <c r="AJ54" s="14">
        <f t="shared" si="62"/>
        <v>458.39547086440211</v>
      </c>
      <c r="AK54" s="387">
        <f t="shared" si="42"/>
        <v>9889836</v>
      </c>
      <c r="AL54" s="14">
        <f t="shared" si="63"/>
        <v>2731.2444076222037</v>
      </c>
      <c r="AM54" s="505">
        <f>'Table 4 Level 3'!R52</f>
        <v>4957711.96</v>
      </c>
      <c r="AN54" s="506">
        <f t="shared" si="64"/>
        <v>1369.1554708644021</v>
      </c>
      <c r="AO54" s="387">
        <f t="shared" si="43"/>
        <v>13187697.960000001</v>
      </c>
      <c r="AP54" s="14">
        <f t="shared" si="65"/>
        <v>3642.0044076222039</v>
      </c>
      <c r="AQ54" s="16">
        <f t="shared" si="44"/>
        <v>0.39758308039203605</v>
      </c>
      <c r="AR54" s="388">
        <f t="shared" si="45"/>
        <v>63</v>
      </c>
      <c r="AS54" s="14">
        <f t="shared" si="46"/>
        <v>19981967.98</v>
      </c>
      <c r="AT54" s="14">
        <f t="shared" si="66"/>
        <v>5518.36</v>
      </c>
      <c r="AU54" s="388">
        <f t="shared" si="47"/>
        <v>6</v>
      </c>
      <c r="AV54" s="16">
        <f t="shared" si="48"/>
        <v>0.60241691960796395</v>
      </c>
      <c r="AW54" s="388">
        <f t="shared" si="49"/>
        <v>33169665.940000001</v>
      </c>
      <c r="AX54" s="389">
        <f t="shared" si="67"/>
        <v>9160.360657276995</v>
      </c>
      <c r="AY54" s="388">
        <f t="shared" si="50"/>
        <v>19</v>
      </c>
      <c r="AZ54" s="1212">
        <v>14927937.90161714</v>
      </c>
      <c r="BA54" s="280">
        <f t="shared" si="51"/>
        <v>-1740239.9416171387</v>
      </c>
      <c r="BB54" s="1872"/>
      <c r="BC54" s="347"/>
      <c r="BD54" s="347"/>
      <c r="BE54" s="347"/>
      <c r="BF54" s="347"/>
      <c r="BG54" s="347"/>
      <c r="BH54" s="347"/>
      <c r="BI54" s="347"/>
      <c r="BJ54" s="347"/>
      <c r="BK54" s="347"/>
      <c r="BL54" s="168"/>
      <c r="BM54" s="168"/>
      <c r="BN54" s="1899"/>
      <c r="BO54" s="168"/>
      <c r="BP54" s="168"/>
      <c r="BQ54" s="1881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</row>
    <row r="55" spans="1:149" s="5" customFormat="1">
      <c r="A55" s="101">
        <v>48</v>
      </c>
      <c r="B55" s="81" t="s">
        <v>197</v>
      </c>
      <c r="C55" s="81">
        <f>'2-1-13 SIS'!S54</f>
        <v>5804</v>
      </c>
      <c r="D55" s="81">
        <f>'[3]2-1-13-Supreme Court Ruling'!AE53</f>
        <v>5728</v>
      </c>
      <c r="E55" s="81">
        <f t="shared" si="53"/>
        <v>1260</v>
      </c>
      <c r="F55" s="81">
        <f>'[4]CTE-Oct 2012-Supreme Court'!AC54</f>
        <v>2130.5</v>
      </c>
      <c r="G55" s="81">
        <f t="shared" si="54"/>
        <v>128</v>
      </c>
      <c r="H55" s="1287">
        <f>'[5]SWD 2-1-13 Supreme Court'!Z53</f>
        <v>847</v>
      </c>
      <c r="I55" s="1287">
        <f t="shared" si="27"/>
        <v>1270.5</v>
      </c>
      <c r="J55" s="1287">
        <f>'[6]GT_PS-12th Supreme Court'!T52</f>
        <v>124</v>
      </c>
      <c r="K55" s="1287">
        <f t="shared" si="28"/>
        <v>74.399999999999991</v>
      </c>
      <c r="L55" s="13">
        <f t="shared" si="55"/>
        <v>1696</v>
      </c>
      <c r="M55" s="65">
        <f t="shared" si="56"/>
        <v>4.5229999999999999E-2</v>
      </c>
      <c r="N55" s="13">
        <f t="shared" si="57"/>
        <v>263</v>
      </c>
      <c r="O55" s="13">
        <f t="shared" si="29"/>
        <v>2995.9</v>
      </c>
      <c r="P55" s="13">
        <f t="shared" si="58"/>
        <v>8799.9</v>
      </c>
      <c r="Q55" s="383">
        <f t="shared" si="30"/>
        <v>3855</v>
      </c>
      <c r="R55" s="383">
        <f t="shared" si="59"/>
        <v>33923615</v>
      </c>
      <c r="S55" s="383">
        <f>'Table 6 (Local Deduct Calc.)'!J56</f>
        <v>13581836.5</v>
      </c>
      <c r="T55" s="383">
        <f t="shared" si="31"/>
        <v>13581836.5</v>
      </c>
      <c r="U55" s="384">
        <f t="shared" si="32"/>
        <v>20341778.5</v>
      </c>
      <c r="V55" s="385">
        <f t="shared" si="52"/>
        <v>0.59960000000000002</v>
      </c>
      <c r="W55" s="385">
        <f t="shared" si="33"/>
        <v>0.40039999999999998</v>
      </c>
      <c r="X55" s="386">
        <f t="shared" si="60"/>
        <v>2340.0820985527221</v>
      </c>
      <c r="Y55" s="383">
        <f>'Table 7 Local Revenue'!AQ55</f>
        <v>34092702.5</v>
      </c>
      <c r="Z55" s="383">
        <f t="shared" si="34"/>
        <v>20510866</v>
      </c>
      <c r="AA55" s="280">
        <f t="shared" si="35"/>
        <v>0</v>
      </c>
      <c r="AB55" s="14">
        <f t="shared" si="36"/>
        <v>11534029.100000001</v>
      </c>
      <c r="AC55" s="14">
        <f t="shared" si="37"/>
        <v>11534029.100000001</v>
      </c>
      <c r="AD55" s="383">
        <f t="shared" si="38"/>
        <v>7943347.4328208007</v>
      </c>
      <c r="AE55" s="387">
        <f t="shared" si="39"/>
        <v>3590681.6671792008</v>
      </c>
      <c r="AF55" s="16">
        <f t="shared" si="40"/>
        <v>0.31130000000000002</v>
      </c>
      <c r="AG55" s="387">
        <f t="shared" si="41"/>
        <v>23932460.167179201</v>
      </c>
      <c r="AH55" s="14">
        <f t="shared" si="61"/>
        <v>4123</v>
      </c>
      <c r="AI55" s="387">
        <f>'Table 4 Level 3'!O53</f>
        <v>866426</v>
      </c>
      <c r="AJ55" s="14">
        <f t="shared" si="62"/>
        <v>149.28084079944867</v>
      </c>
      <c r="AK55" s="387">
        <f t="shared" si="42"/>
        <v>24798886.167179201</v>
      </c>
      <c r="AL55" s="14">
        <f t="shared" si="63"/>
        <v>4272.723323083942</v>
      </c>
      <c r="AM55" s="505">
        <f>'Table 4 Level 3'!R53</f>
        <v>5922116.2800000003</v>
      </c>
      <c r="AN55" s="506">
        <f t="shared" si="64"/>
        <v>1020.3508407994487</v>
      </c>
      <c r="AO55" s="387">
        <f t="shared" si="43"/>
        <v>29854576.447179202</v>
      </c>
      <c r="AP55" s="14">
        <f t="shared" si="65"/>
        <v>5143.7933230839426</v>
      </c>
      <c r="AQ55" s="16">
        <f t="shared" si="44"/>
        <v>0.54310235347127211</v>
      </c>
      <c r="AR55" s="388">
        <f t="shared" si="45"/>
        <v>53</v>
      </c>
      <c r="AS55" s="14">
        <f t="shared" si="46"/>
        <v>25115865.600000001</v>
      </c>
      <c r="AT55" s="14">
        <f t="shared" si="66"/>
        <v>4327.34</v>
      </c>
      <c r="AU55" s="388">
        <f t="shared" si="47"/>
        <v>15</v>
      </c>
      <c r="AV55" s="16">
        <f t="shared" si="48"/>
        <v>0.45689764652872777</v>
      </c>
      <c r="AW55" s="388">
        <f t="shared" si="49"/>
        <v>54970442.047179207</v>
      </c>
      <c r="AX55" s="389">
        <f t="shared" si="67"/>
        <v>9471.1306077152312</v>
      </c>
      <c r="AY55" s="388">
        <f t="shared" si="50"/>
        <v>11</v>
      </c>
      <c r="AZ55" s="1212">
        <v>31981966.149530765</v>
      </c>
      <c r="BA55" s="280">
        <f t="shared" si="51"/>
        <v>-2127389.7023515627</v>
      </c>
      <c r="BB55" s="1872"/>
      <c r="BC55" s="347"/>
      <c r="BD55" s="347"/>
      <c r="BE55" s="347"/>
      <c r="BF55" s="347"/>
      <c r="BG55" s="347"/>
      <c r="BH55" s="347"/>
      <c r="BI55" s="347"/>
      <c r="BJ55" s="347"/>
      <c r="BK55" s="347"/>
      <c r="BL55" s="168"/>
      <c r="BM55" s="168"/>
      <c r="BN55" s="1899"/>
      <c r="BO55" s="168"/>
      <c r="BP55" s="168"/>
      <c r="BQ55" s="1881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</row>
    <row r="56" spans="1:149" s="5" customFormat="1">
      <c r="A56" s="101">
        <v>49</v>
      </c>
      <c r="B56" s="81" t="s">
        <v>140</v>
      </c>
      <c r="C56" s="81">
        <f>'2-1-13 SIS'!S55</f>
        <v>14494</v>
      </c>
      <c r="D56" s="81">
        <f>'[3]2-1-13-Supreme Court Ruling'!AE54</f>
        <v>11589</v>
      </c>
      <c r="E56" s="81">
        <f t="shared" si="53"/>
        <v>2550</v>
      </c>
      <c r="F56" s="81">
        <f>'[4]CTE-Oct 2012-Supreme Court'!AC55</f>
        <v>4678</v>
      </c>
      <c r="G56" s="81">
        <f t="shared" si="54"/>
        <v>281</v>
      </c>
      <c r="H56" s="1287">
        <f>'[5]SWD 2-1-13 Supreme Court'!Z54</f>
        <v>1801</v>
      </c>
      <c r="I56" s="1287">
        <f t="shared" si="27"/>
        <v>2701.5</v>
      </c>
      <c r="J56" s="1287">
        <f>'[6]GT_PS-12th Supreme Court'!T53</f>
        <v>334</v>
      </c>
      <c r="K56" s="1287">
        <f t="shared" si="28"/>
        <v>200.4</v>
      </c>
      <c r="L56" s="13">
        <f t="shared" si="55"/>
        <v>0</v>
      </c>
      <c r="M56" s="65">
        <f t="shared" si="56"/>
        <v>0</v>
      </c>
      <c r="N56" s="13">
        <f t="shared" si="57"/>
        <v>0</v>
      </c>
      <c r="O56" s="13">
        <f t="shared" si="29"/>
        <v>5732.9</v>
      </c>
      <c r="P56" s="13">
        <f t="shared" si="58"/>
        <v>20226.900000000001</v>
      </c>
      <c r="Q56" s="383">
        <f t="shared" si="30"/>
        <v>3855</v>
      </c>
      <c r="R56" s="383">
        <f t="shared" si="59"/>
        <v>77974700</v>
      </c>
      <c r="S56" s="383">
        <f>'Table 6 (Local Deduct Calc.)'!J57</f>
        <v>19137689</v>
      </c>
      <c r="T56" s="383">
        <f t="shared" si="31"/>
        <v>19137689</v>
      </c>
      <c r="U56" s="384">
        <f t="shared" si="32"/>
        <v>58837011</v>
      </c>
      <c r="V56" s="385">
        <f t="shared" si="52"/>
        <v>0.75460000000000005</v>
      </c>
      <c r="W56" s="385">
        <f t="shared" si="33"/>
        <v>0.24540000000000001</v>
      </c>
      <c r="X56" s="386">
        <f t="shared" si="60"/>
        <v>1320.3869877190562</v>
      </c>
      <c r="Y56" s="383">
        <f>'Table 7 Local Revenue'!AQ56</f>
        <v>34750059</v>
      </c>
      <c r="Z56" s="383">
        <f t="shared" si="34"/>
        <v>15612370</v>
      </c>
      <c r="AA56" s="280">
        <f t="shared" si="35"/>
        <v>0</v>
      </c>
      <c r="AB56" s="14">
        <f t="shared" si="36"/>
        <v>26511398.000000004</v>
      </c>
      <c r="AC56" s="14">
        <f t="shared" si="37"/>
        <v>15612370</v>
      </c>
      <c r="AD56" s="383">
        <f t="shared" si="38"/>
        <v>6589794.0285600005</v>
      </c>
      <c r="AE56" s="387">
        <f t="shared" si="39"/>
        <v>9022575.9714399986</v>
      </c>
      <c r="AF56" s="16">
        <f t="shared" si="40"/>
        <v>0.57789999999999997</v>
      </c>
      <c r="AG56" s="387">
        <f t="shared" si="41"/>
        <v>67859586.971440002</v>
      </c>
      <c r="AH56" s="14">
        <f t="shared" si="61"/>
        <v>4682</v>
      </c>
      <c r="AI56" s="387">
        <f>'Table 4 Level 3'!O54</f>
        <v>2243677</v>
      </c>
      <c r="AJ56" s="14">
        <f t="shared" si="62"/>
        <v>154.80040016558576</v>
      </c>
      <c r="AK56" s="387">
        <f t="shared" si="42"/>
        <v>70103263.971440002</v>
      </c>
      <c r="AL56" s="14">
        <f t="shared" si="63"/>
        <v>4836.7092570332552</v>
      </c>
      <c r="AM56" s="505">
        <f>'Table 4 Level 3'!R54</f>
        <v>10569610.359999999</v>
      </c>
      <c r="AN56" s="506">
        <f t="shared" si="64"/>
        <v>729.2404001655857</v>
      </c>
      <c r="AO56" s="387">
        <f t="shared" si="43"/>
        <v>78429197.331440002</v>
      </c>
      <c r="AP56" s="14">
        <f t="shared" si="65"/>
        <v>5411.1492570332557</v>
      </c>
      <c r="AQ56" s="16">
        <f t="shared" si="44"/>
        <v>0.69296441656909169</v>
      </c>
      <c r="AR56" s="388">
        <f t="shared" si="45"/>
        <v>19</v>
      </c>
      <c r="AS56" s="14">
        <f t="shared" si="46"/>
        <v>34750059</v>
      </c>
      <c r="AT56" s="14">
        <f t="shared" si="66"/>
        <v>2397.5500000000002</v>
      </c>
      <c r="AU56" s="388">
        <f t="shared" si="47"/>
        <v>58</v>
      </c>
      <c r="AV56" s="16">
        <f t="shared" si="48"/>
        <v>0.30703558343090825</v>
      </c>
      <c r="AW56" s="388">
        <f t="shared" si="49"/>
        <v>113179256.33144</v>
      </c>
      <c r="AX56" s="389">
        <f t="shared" si="67"/>
        <v>7808.6971389154132</v>
      </c>
      <c r="AY56" s="388">
        <f t="shared" si="50"/>
        <v>66</v>
      </c>
      <c r="AZ56" s="1212">
        <v>77719318.075537771</v>
      </c>
      <c r="BA56" s="280">
        <f t="shared" si="51"/>
        <v>709879.25590223074</v>
      </c>
      <c r="BB56" s="1872"/>
      <c r="BC56" s="347"/>
      <c r="BD56" s="347"/>
      <c r="BE56" s="347"/>
      <c r="BF56" s="347"/>
      <c r="BG56" s="347"/>
      <c r="BH56" s="347"/>
      <c r="BI56" s="347"/>
      <c r="BJ56" s="347"/>
      <c r="BK56" s="347"/>
      <c r="BL56" s="168"/>
      <c r="BM56" s="168"/>
      <c r="BN56" s="1899"/>
      <c r="BO56" s="168"/>
      <c r="BP56" s="168"/>
      <c r="BQ56" s="1881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</row>
    <row r="57" spans="1:149" s="21" customFormat="1">
      <c r="A57" s="102">
        <v>50</v>
      </c>
      <c r="B57" s="82" t="s">
        <v>141</v>
      </c>
      <c r="C57" s="82">
        <f>'2-1-13 SIS'!S56</f>
        <v>7887</v>
      </c>
      <c r="D57" s="82">
        <f>'[3]2-1-13-Supreme Court Ruling'!AE55</f>
        <v>5998</v>
      </c>
      <c r="E57" s="82">
        <f t="shared" si="53"/>
        <v>1320</v>
      </c>
      <c r="F57" s="82">
        <f>'[4]CTE-Oct 2012-Supreme Court'!AC56</f>
        <v>3473.5</v>
      </c>
      <c r="G57" s="82">
        <f t="shared" si="54"/>
        <v>208</v>
      </c>
      <c r="H57" s="82">
        <f>'[5]SWD 2-1-13 Supreme Court'!Z55</f>
        <v>866</v>
      </c>
      <c r="I57" s="82">
        <f t="shared" si="27"/>
        <v>1299</v>
      </c>
      <c r="J57" s="82">
        <f>'[6]GT_PS-12th Supreme Court'!T54</f>
        <v>157</v>
      </c>
      <c r="K57" s="82">
        <f t="shared" si="28"/>
        <v>94.2</v>
      </c>
      <c r="L57" s="19">
        <f t="shared" si="55"/>
        <v>0</v>
      </c>
      <c r="M57" s="66">
        <f t="shared" si="56"/>
        <v>0</v>
      </c>
      <c r="N57" s="19">
        <f t="shared" si="57"/>
        <v>0</v>
      </c>
      <c r="O57" s="19">
        <f t="shared" si="29"/>
        <v>2921.2</v>
      </c>
      <c r="P57" s="13">
        <f t="shared" si="58"/>
        <v>10808.2</v>
      </c>
      <c r="Q57" s="390">
        <f t="shared" si="30"/>
        <v>3855</v>
      </c>
      <c r="R57" s="390">
        <f t="shared" si="59"/>
        <v>41665611</v>
      </c>
      <c r="S57" s="390">
        <f>'Table 6 (Local Deduct Calc.)'!J58</f>
        <v>10388174.5</v>
      </c>
      <c r="T57" s="390">
        <f t="shared" si="31"/>
        <v>10388174.5</v>
      </c>
      <c r="U57" s="391">
        <f t="shared" si="32"/>
        <v>31277436.5</v>
      </c>
      <c r="V57" s="392">
        <f t="shared" si="52"/>
        <v>0.75070000000000003</v>
      </c>
      <c r="W57" s="393">
        <f t="shared" si="33"/>
        <v>0.24929999999999999</v>
      </c>
      <c r="X57" s="394">
        <f t="shared" si="60"/>
        <v>1317.126220362622</v>
      </c>
      <c r="Y57" s="390">
        <f>'Table 7 Local Revenue'!AQ57</f>
        <v>22744499.5</v>
      </c>
      <c r="Z57" s="390">
        <f t="shared" si="34"/>
        <v>12356325</v>
      </c>
      <c r="AA57" s="281">
        <f t="shared" si="35"/>
        <v>0</v>
      </c>
      <c r="AB57" s="20">
        <f t="shared" si="36"/>
        <v>14166307.74</v>
      </c>
      <c r="AC57" s="20">
        <f t="shared" si="37"/>
        <v>12356325</v>
      </c>
      <c r="AD57" s="390">
        <f t="shared" si="38"/>
        <v>5298342.7346999999</v>
      </c>
      <c r="AE57" s="395">
        <f t="shared" si="39"/>
        <v>7057982.2653000001</v>
      </c>
      <c r="AF57" s="274">
        <f t="shared" si="40"/>
        <v>0.57120000000000004</v>
      </c>
      <c r="AG57" s="395">
        <f t="shared" si="41"/>
        <v>38335418.765299998</v>
      </c>
      <c r="AH57" s="20">
        <f t="shared" si="61"/>
        <v>4861</v>
      </c>
      <c r="AI57" s="395">
        <f>'Table 4 Level 3'!O55</f>
        <v>1357378</v>
      </c>
      <c r="AJ57" s="20">
        <f t="shared" si="62"/>
        <v>172.10320781032078</v>
      </c>
      <c r="AK57" s="395">
        <f t="shared" si="42"/>
        <v>39692796.765299998</v>
      </c>
      <c r="AL57" s="20">
        <f t="shared" si="63"/>
        <v>5032.6862895017111</v>
      </c>
      <c r="AM57" s="507">
        <f>'Table 4 Level 3'!R55</f>
        <v>6361364.0200000005</v>
      </c>
      <c r="AN57" s="508">
        <f t="shared" si="64"/>
        <v>806.56320781032082</v>
      </c>
      <c r="AO57" s="395">
        <f t="shared" si="43"/>
        <v>44696782.785300002</v>
      </c>
      <c r="AP57" s="20">
        <f t="shared" si="65"/>
        <v>5667.1462895017121</v>
      </c>
      <c r="AQ57" s="274">
        <f t="shared" si="44"/>
        <v>0.66275108169232488</v>
      </c>
      <c r="AR57" s="396">
        <f t="shared" si="45"/>
        <v>28</v>
      </c>
      <c r="AS57" s="20">
        <f t="shared" si="46"/>
        <v>22744499.5</v>
      </c>
      <c r="AT57" s="20">
        <f t="shared" si="66"/>
        <v>2883.8</v>
      </c>
      <c r="AU57" s="396">
        <f t="shared" si="47"/>
        <v>45</v>
      </c>
      <c r="AV57" s="274">
        <f t="shared" si="48"/>
        <v>0.33724891830767517</v>
      </c>
      <c r="AW57" s="396">
        <f t="shared" si="49"/>
        <v>67441282.285300002</v>
      </c>
      <c r="AX57" s="397">
        <f t="shared" si="67"/>
        <v>8550.9423463040457</v>
      </c>
      <c r="AY57" s="396">
        <f t="shared" si="50"/>
        <v>48</v>
      </c>
      <c r="AZ57" s="1213">
        <v>45465064.467040002</v>
      </c>
      <c r="BA57" s="281">
        <f t="shared" si="51"/>
        <v>-768281.68174000084</v>
      </c>
      <c r="BB57" s="1874"/>
      <c r="BC57" s="347"/>
      <c r="BD57" s="347"/>
      <c r="BE57" s="347"/>
      <c r="BF57" s="347"/>
      <c r="BG57" s="347"/>
      <c r="BH57" s="347"/>
      <c r="BI57" s="347"/>
      <c r="BJ57" s="347"/>
      <c r="BK57" s="347"/>
      <c r="BL57" s="168"/>
      <c r="BM57" s="168"/>
      <c r="BN57" s="1899"/>
      <c r="BO57" s="168"/>
      <c r="BP57" s="168"/>
      <c r="BQ57" s="1882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</row>
    <row r="58" spans="1:149" s="5" customFormat="1">
      <c r="A58" s="101">
        <v>51</v>
      </c>
      <c r="B58" s="81" t="s">
        <v>142</v>
      </c>
      <c r="C58" s="81">
        <f>'2-1-13 SIS'!S57</f>
        <v>8997</v>
      </c>
      <c r="D58" s="81">
        <f>'[3]2-1-13-Supreme Court Ruling'!AE56</f>
        <v>6563</v>
      </c>
      <c r="E58" s="81">
        <f t="shared" si="53"/>
        <v>1444</v>
      </c>
      <c r="F58" s="81">
        <f>'[4]CTE-Oct 2012-Supreme Court'!AC57</f>
        <v>3065</v>
      </c>
      <c r="G58" s="81">
        <f t="shared" si="54"/>
        <v>184</v>
      </c>
      <c r="H58" s="1287">
        <f>'[5]SWD 2-1-13 Supreme Court'!Z56</f>
        <v>1301</v>
      </c>
      <c r="I58" s="1287">
        <f t="shared" si="27"/>
        <v>1951.5</v>
      </c>
      <c r="J58" s="1287">
        <f>'[6]GT_PS-12th Supreme Court'!T55</f>
        <v>579</v>
      </c>
      <c r="K58" s="1287">
        <f t="shared" si="28"/>
        <v>347.4</v>
      </c>
      <c r="L58" s="13">
        <f t="shared" si="55"/>
        <v>0</v>
      </c>
      <c r="M58" s="65">
        <f t="shared" si="56"/>
        <v>0</v>
      </c>
      <c r="N58" s="13">
        <f t="shared" si="57"/>
        <v>0</v>
      </c>
      <c r="O58" s="13">
        <f t="shared" si="29"/>
        <v>3926.9</v>
      </c>
      <c r="P58" s="36">
        <f t="shared" si="58"/>
        <v>12923.9</v>
      </c>
      <c r="Q58" s="383">
        <f t="shared" si="30"/>
        <v>3855</v>
      </c>
      <c r="R58" s="383">
        <f t="shared" si="59"/>
        <v>49821635</v>
      </c>
      <c r="S58" s="383">
        <f>'Table 6 (Local Deduct Calc.)'!J59</f>
        <v>18868816.5</v>
      </c>
      <c r="T58" s="383">
        <f t="shared" si="31"/>
        <v>18868816.5</v>
      </c>
      <c r="U58" s="384">
        <f t="shared" si="32"/>
        <v>30952818.5</v>
      </c>
      <c r="V58" s="385">
        <f t="shared" si="52"/>
        <v>0.62129999999999996</v>
      </c>
      <c r="W58" s="385">
        <f t="shared" si="33"/>
        <v>0.37869999999999998</v>
      </c>
      <c r="X58" s="386">
        <f t="shared" si="60"/>
        <v>2097.2342447482492</v>
      </c>
      <c r="Y58" s="383">
        <f>'Table 7 Local Revenue'!AQ58</f>
        <v>38539049.5</v>
      </c>
      <c r="Z58" s="383">
        <f t="shared" si="34"/>
        <v>19670233</v>
      </c>
      <c r="AA58" s="280">
        <f t="shared" si="35"/>
        <v>0</v>
      </c>
      <c r="AB58" s="14">
        <f t="shared" si="36"/>
        <v>16939355.900000002</v>
      </c>
      <c r="AC58" s="14">
        <f t="shared" si="37"/>
        <v>16939355.900000002</v>
      </c>
      <c r="AD58" s="383">
        <f t="shared" si="38"/>
        <v>11033686.6164476</v>
      </c>
      <c r="AE58" s="387">
        <f t="shared" si="39"/>
        <v>5905669.2835524026</v>
      </c>
      <c r="AF58" s="16">
        <f t="shared" si="40"/>
        <v>0.34860000000000002</v>
      </c>
      <c r="AG58" s="387">
        <f t="shared" si="41"/>
        <v>36858487.783552401</v>
      </c>
      <c r="AH58" s="14">
        <f t="shared" si="61"/>
        <v>4097</v>
      </c>
      <c r="AI58" s="387">
        <f>'Table 4 Level 3'!O56</f>
        <v>1343080</v>
      </c>
      <c r="AJ58" s="14">
        <f t="shared" si="62"/>
        <v>149.28087140157831</v>
      </c>
      <c r="AK58" s="387">
        <f t="shared" si="42"/>
        <v>38201567.783552401</v>
      </c>
      <c r="AL58" s="14">
        <f t="shared" si="63"/>
        <v>4246.0339872793602</v>
      </c>
      <c r="AM58" s="505">
        <f>'Table 4 Level 3'!R56</f>
        <v>7700900.0199999996</v>
      </c>
      <c r="AN58" s="506">
        <f t="shared" si="64"/>
        <v>855.94087140157831</v>
      </c>
      <c r="AO58" s="387">
        <f t="shared" si="43"/>
        <v>44559387.803552404</v>
      </c>
      <c r="AP58" s="14">
        <f t="shared" si="65"/>
        <v>4952.69398727936</v>
      </c>
      <c r="AQ58" s="16">
        <f t="shared" si="44"/>
        <v>0.55444494881633588</v>
      </c>
      <c r="AR58" s="388">
        <f t="shared" si="45"/>
        <v>52</v>
      </c>
      <c r="AS58" s="14">
        <f t="shared" si="46"/>
        <v>35808172.399999999</v>
      </c>
      <c r="AT58" s="14">
        <f t="shared" si="66"/>
        <v>3980.01</v>
      </c>
      <c r="AU58" s="388">
        <f t="shared" si="47"/>
        <v>19</v>
      </c>
      <c r="AV58" s="16">
        <f t="shared" si="48"/>
        <v>0.44555505118366417</v>
      </c>
      <c r="AW58" s="388">
        <f t="shared" si="49"/>
        <v>80367560.203552395</v>
      </c>
      <c r="AX58" s="389">
        <f t="shared" si="67"/>
        <v>8932.7064803325993</v>
      </c>
      <c r="AY58" s="388">
        <f t="shared" si="50"/>
        <v>28</v>
      </c>
      <c r="AZ58" s="1212">
        <v>47545741.807326384</v>
      </c>
      <c r="BA58" s="280">
        <f t="shared" si="51"/>
        <v>-2986354.0037739798</v>
      </c>
      <c r="BB58" s="1873"/>
      <c r="BC58" s="347"/>
      <c r="BD58" s="347"/>
      <c r="BE58" s="347"/>
      <c r="BF58" s="347"/>
      <c r="BG58" s="347"/>
      <c r="BH58" s="347"/>
      <c r="BI58" s="347"/>
      <c r="BJ58" s="347"/>
      <c r="BK58" s="347"/>
      <c r="BL58" s="168"/>
      <c r="BM58" s="168"/>
      <c r="BN58" s="1899"/>
      <c r="BO58" s="168"/>
      <c r="BP58" s="168"/>
      <c r="BQ58" s="1881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</row>
    <row r="59" spans="1:149" s="5" customFormat="1">
      <c r="A59" s="101">
        <v>52</v>
      </c>
      <c r="B59" s="81" t="s">
        <v>143</v>
      </c>
      <c r="C59" s="81">
        <f>'2-1-13 SIS'!S58</f>
        <v>37078</v>
      </c>
      <c r="D59" s="81">
        <f>'[3]2-1-13-Supreme Court Ruling'!AE57</f>
        <v>17393</v>
      </c>
      <c r="E59" s="81">
        <f t="shared" si="53"/>
        <v>3826</v>
      </c>
      <c r="F59" s="81">
        <f>'[4]CTE-Oct 2012-Supreme Court'!AC58</f>
        <v>18242</v>
      </c>
      <c r="G59" s="81">
        <f t="shared" si="54"/>
        <v>1095</v>
      </c>
      <c r="H59" s="1287">
        <f>'[5]SWD 2-1-13 Supreme Court'!Z57</f>
        <v>6201</v>
      </c>
      <c r="I59" s="1287">
        <f t="shared" si="27"/>
        <v>9301.5</v>
      </c>
      <c r="J59" s="1287">
        <f>'[6]GT_PS-12th Supreme Court'!T56</f>
        <v>3396</v>
      </c>
      <c r="K59" s="1287">
        <f t="shared" si="28"/>
        <v>2037.6</v>
      </c>
      <c r="L59" s="13">
        <f t="shared" si="55"/>
        <v>0</v>
      </c>
      <c r="M59" s="65">
        <f t="shared" si="56"/>
        <v>0</v>
      </c>
      <c r="N59" s="13">
        <f t="shared" si="57"/>
        <v>0</v>
      </c>
      <c r="O59" s="13">
        <f t="shared" si="29"/>
        <v>16260.1</v>
      </c>
      <c r="P59" s="13">
        <f t="shared" si="58"/>
        <v>53338.1</v>
      </c>
      <c r="Q59" s="383">
        <f t="shared" si="30"/>
        <v>3855</v>
      </c>
      <c r="R59" s="383">
        <f t="shared" si="59"/>
        <v>205618376</v>
      </c>
      <c r="S59" s="383">
        <f>'Table 6 (Local Deduct Calc.)'!J60</f>
        <v>60051444</v>
      </c>
      <c r="T59" s="383">
        <f t="shared" si="31"/>
        <v>60051444</v>
      </c>
      <c r="U59" s="384">
        <f t="shared" si="32"/>
        <v>145566932</v>
      </c>
      <c r="V59" s="385">
        <f t="shared" si="52"/>
        <v>0.70789999999999997</v>
      </c>
      <c r="W59" s="385">
        <f t="shared" si="33"/>
        <v>0.29210000000000003</v>
      </c>
      <c r="X59" s="386">
        <f t="shared" si="60"/>
        <v>1619.5977129294999</v>
      </c>
      <c r="Y59" s="383">
        <f>'Table 7 Local Revenue'!AQ59</f>
        <v>186243912</v>
      </c>
      <c r="Z59" s="383">
        <f t="shared" si="34"/>
        <v>126192468</v>
      </c>
      <c r="AA59" s="280">
        <f t="shared" si="35"/>
        <v>0</v>
      </c>
      <c r="AB59" s="14">
        <f t="shared" si="36"/>
        <v>69910247.840000004</v>
      </c>
      <c r="AC59" s="14">
        <f t="shared" si="37"/>
        <v>69910247.840000004</v>
      </c>
      <c r="AD59" s="383">
        <f t="shared" si="38"/>
        <v>35123747.437790088</v>
      </c>
      <c r="AE59" s="387">
        <f t="shared" si="39"/>
        <v>34786500.402209915</v>
      </c>
      <c r="AF59" s="16">
        <f t="shared" si="40"/>
        <v>0.49759999999999999</v>
      </c>
      <c r="AG59" s="387">
        <f t="shared" si="41"/>
        <v>180353432.40220991</v>
      </c>
      <c r="AH59" s="14">
        <f t="shared" si="61"/>
        <v>4864</v>
      </c>
      <c r="AI59" s="387">
        <f>'Table 4 Level 3'!O57</f>
        <v>5535037</v>
      </c>
      <c r="AJ59" s="14">
        <f t="shared" si="62"/>
        <v>149.28089433087007</v>
      </c>
      <c r="AK59" s="387">
        <f t="shared" si="42"/>
        <v>185888469.40220991</v>
      </c>
      <c r="AL59" s="14">
        <f t="shared" si="63"/>
        <v>5013.4438050113249</v>
      </c>
      <c r="AM59" s="505">
        <f>'Table 4 Level 3'!R57</f>
        <v>29946079.859999999</v>
      </c>
      <c r="AN59" s="506">
        <f t="shared" si="64"/>
        <v>807.65089433087007</v>
      </c>
      <c r="AO59" s="387">
        <f t="shared" si="43"/>
        <v>210299512.26220989</v>
      </c>
      <c r="AP59" s="14">
        <f t="shared" si="65"/>
        <v>5671.8138050113248</v>
      </c>
      <c r="AQ59" s="16">
        <f t="shared" si="44"/>
        <v>0.61805315953398765</v>
      </c>
      <c r="AR59" s="388">
        <f t="shared" si="45"/>
        <v>39</v>
      </c>
      <c r="AS59" s="14">
        <f t="shared" si="46"/>
        <v>129961691.84</v>
      </c>
      <c r="AT59" s="14">
        <f t="shared" si="66"/>
        <v>3505.09</v>
      </c>
      <c r="AU59" s="388">
        <f t="shared" si="47"/>
        <v>28</v>
      </c>
      <c r="AV59" s="16">
        <f t="shared" si="48"/>
        <v>0.38194684046601224</v>
      </c>
      <c r="AW59" s="388">
        <f t="shared" si="49"/>
        <v>340261204.10220993</v>
      </c>
      <c r="AX59" s="389">
        <f t="shared" si="67"/>
        <v>9176.9028562007097</v>
      </c>
      <c r="AY59" s="388">
        <f t="shared" si="50"/>
        <v>18</v>
      </c>
      <c r="AZ59" s="1212">
        <v>203924535.41170073</v>
      </c>
      <c r="BA59" s="280">
        <f t="shared" si="51"/>
        <v>6374976.8505091667</v>
      </c>
      <c r="BB59" s="1873"/>
      <c r="BC59" s="347"/>
      <c r="BD59" s="347"/>
      <c r="BE59" s="347"/>
      <c r="BF59" s="347"/>
      <c r="BG59" s="347"/>
      <c r="BH59" s="347"/>
      <c r="BI59" s="347"/>
      <c r="BJ59" s="347"/>
      <c r="BK59" s="347"/>
      <c r="BL59" s="168"/>
      <c r="BM59" s="168"/>
      <c r="BN59" s="1899"/>
      <c r="BO59" s="168"/>
      <c r="BP59" s="168"/>
      <c r="BQ59" s="1881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</row>
    <row r="60" spans="1:149" s="5" customFormat="1">
      <c r="A60" s="101">
        <v>53</v>
      </c>
      <c r="B60" s="81" t="s">
        <v>144</v>
      </c>
      <c r="C60" s="81">
        <f>'2-1-13 SIS'!S59</f>
        <v>19145</v>
      </c>
      <c r="D60" s="81">
        <f>'[3]2-1-13-Supreme Court Ruling'!AE58</f>
        <v>14565</v>
      </c>
      <c r="E60" s="81">
        <f t="shared" si="53"/>
        <v>3204</v>
      </c>
      <c r="F60" s="81">
        <f>'[4]CTE-Oct 2012-Supreme Court'!AC59</f>
        <v>6518</v>
      </c>
      <c r="G60" s="81">
        <f t="shared" si="54"/>
        <v>391</v>
      </c>
      <c r="H60" s="1287">
        <f>'[5]SWD 2-1-13 Supreme Court'!Z58</f>
        <v>2184</v>
      </c>
      <c r="I60" s="1287">
        <f t="shared" si="27"/>
        <v>3276</v>
      </c>
      <c r="J60" s="1287">
        <f>'[6]GT_PS-12th Supreme Court'!T57</f>
        <v>414</v>
      </c>
      <c r="K60" s="1287">
        <f t="shared" si="28"/>
        <v>248.39999999999998</v>
      </c>
      <c r="L60" s="13">
        <f t="shared" si="55"/>
        <v>0</v>
      </c>
      <c r="M60" s="65">
        <f t="shared" si="56"/>
        <v>0</v>
      </c>
      <c r="N60" s="13">
        <f t="shared" si="57"/>
        <v>0</v>
      </c>
      <c r="O60" s="13">
        <f t="shared" si="29"/>
        <v>7119.4</v>
      </c>
      <c r="P60" s="13">
        <f t="shared" si="58"/>
        <v>26264.400000000001</v>
      </c>
      <c r="Q60" s="383">
        <f t="shared" si="30"/>
        <v>3855</v>
      </c>
      <c r="R60" s="383">
        <f t="shared" si="59"/>
        <v>101249262</v>
      </c>
      <c r="S60" s="383">
        <f>'Table 6 (Local Deduct Calc.)'!J61</f>
        <v>22168982</v>
      </c>
      <c r="T60" s="383">
        <f t="shared" si="31"/>
        <v>22168982</v>
      </c>
      <c r="U60" s="384">
        <f t="shared" si="32"/>
        <v>79080280</v>
      </c>
      <c r="V60" s="385">
        <f t="shared" si="52"/>
        <v>0.78100000000000003</v>
      </c>
      <c r="W60" s="385">
        <f t="shared" si="33"/>
        <v>0.219</v>
      </c>
      <c r="X60" s="386">
        <f t="shared" si="60"/>
        <v>1157.9515278140507</v>
      </c>
      <c r="Y60" s="383">
        <f>'Table 7 Local Revenue'!AQ60</f>
        <v>37298233</v>
      </c>
      <c r="Z60" s="383">
        <f t="shared" si="34"/>
        <v>15129251</v>
      </c>
      <c r="AA60" s="280">
        <f t="shared" si="35"/>
        <v>0</v>
      </c>
      <c r="AB60" s="14">
        <f t="shared" si="36"/>
        <v>34424749.080000006</v>
      </c>
      <c r="AC60" s="14">
        <f t="shared" si="37"/>
        <v>15129251</v>
      </c>
      <c r="AD60" s="383">
        <f t="shared" si="38"/>
        <v>5698886.2666800003</v>
      </c>
      <c r="AE60" s="387">
        <f t="shared" si="39"/>
        <v>9430364.7333199997</v>
      </c>
      <c r="AF60" s="16">
        <f t="shared" si="40"/>
        <v>0.62329999999999997</v>
      </c>
      <c r="AG60" s="387">
        <f t="shared" si="41"/>
        <v>88510644.733319998</v>
      </c>
      <c r="AH60" s="14">
        <f t="shared" si="61"/>
        <v>4623</v>
      </c>
      <c r="AI60" s="387">
        <f>'Table 4 Level 3'!O58</f>
        <v>2917983</v>
      </c>
      <c r="AJ60" s="14">
        <f t="shared" si="62"/>
        <v>152.41488639331419</v>
      </c>
      <c r="AK60" s="387">
        <f t="shared" si="42"/>
        <v>91428627.733319998</v>
      </c>
      <c r="AL60" s="14">
        <f t="shared" si="63"/>
        <v>4775.5877635581091</v>
      </c>
      <c r="AM60" s="505">
        <f>'Table 4 Level 3'!R58</f>
        <v>16123055.300000001</v>
      </c>
      <c r="AN60" s="506">
        <f t="shared" si="64"/>
        <v>842.1548863933142</v>
      </c>
      <c r="AO60" s="387">
        <f t="shared" si="43"/>
        <v>104633700.03331999</v>
      </c>
      <c r="AP60" s="14">
        <f t="shared" si="65"/>
        <v>5465.3277635581089</v>
      </c>
      <c r="AQ60" s="16">
        <f t="shared" si="44"/>
        <v>0.73721042049611296</v>
      </c>
      <c r="AR60" s="388">
        <f t="shared" si="45"/>
        <v>9</v>
      </c>
      <c r="AS60" s="14">
        <f t="shared" si="46"/>
        <v>37298233</v>
      </c>
      <c r="AT60" s="14">
        <f t="shared" si="66"/>
        <v>1948.2</v>
      </c>
      <c r="AU60" s="388">
        <f t="shared" si="47"/>
        <v>65</v>
      </c>
      <c r="AV60" s="16">
        <f t="shared" si="48"/>
        <v>0.26278957950388687</v>
      </c>
      <c r="AW60" s="388">
        <f t="shared" si="49"/>
        <v>141931933.03332001</v>
      </c>
      <c r="AX60" s="389">
        <f t="shared" si="67"/>
        <v>7413.5248385124059</v>
      </c>
      <c r="AY60" s="388">
        <f t="shared" si="50"/>
        <v>68</v>
      </c>
      <c r="AZ60" s="1212">
        <v>104110634.10662015</v>
      </c>
      <c r="BA60" s="280">
        <f t="shared" si="51"/>
        <v>523065.92669984698</v>
      </c>
      <c r="BB60" s="1872"/>
      <c r="BC60" s="347"/>
      <c r="BD60" s="347"/>
      <c r="BE60" s="347"/>
      <c r="BF60" s="347"/>
      <c r="BG60" s="347"/>
      <c r="BH60" s="347"/>
      <c r="BI60" s="347"/>
      <c r="BJ60" s="347"/>
      <c r="BK60" s="347"/>
      <c r="BL60" s="168"/>
      <c r="BM60" s="168"/>
      <c r="BN60" s="1899"/>
      <c r="BO60" s="168"/>
      <c r="BP60" s="168"/>
      <c r="BQ60" s="1881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</row>
    <row r="61" spans="1:149" s="5" customFormat="1">
      <c r="A61" s="101">
        <v>54</v>
      </c>
      <c r="B61" s="81" t="s">
        <v>145</v>
      </c>
      <c r="C61" s="81">
        <f>'2-1-13 SIS'!S60</f>
        <v>682</v>
      </c>
      <c r="D61" s="81">
        <f>'[3]2-1-13-Supreme Court Ruling'!AE59</f>
        <v>646</v>
      </c>
      <c r="E61" s="81">
        <f t="shared" si="53"/>
        <v>142</v>
      </c>
      <c r="F61" s="81">
        <f>'[4]CTE-Oct 2012-Supreme Court'!AC60</f>
        <v>234</v>
      </c>
      <c r="G61" s="81">
        <f t="shared" si="54"/>
        <v>14</v>
      </c>
      <c r="H61" s="1287">
        <f>'[5]SWD 2-1-13 Supreme Court'!Z59</f>
        <v>116</v>
      </c>
      <c r="I61" s="1287">
        <f t="shared" si="27"/>
        <v>174</v>
      </c>
      <c r="J61" s="1287">
        <f>'[6]GT_PS-12th Supreme Court'!T58</f>
        <v>30</v>
      </c>
      <c r="K61" s="1287">
        <f t="shared" si="28"/>
        <v>18</v>
      </c>
      <c r="L61" s="13">
        <f t="shared" si="55"/>
        <v>6818</v>
      </c>
      <c r="M61" s="65">
        <f t="shared" si="56"/>
        <v>0.18181</v>
      </c>
      <c r="N61" s="13">
        <f t="shared" si="57"/>
        <v>124</v>
      </c>
      <c r="O61" s="13">
        <f t="shared" si="29"/>
        <v>472</v>
      </c>
      <c r="P61" s="13">
        <f t="shared" si="58"/>
        <v>1154</v>
      </c>
      <c r="Q61" s="383">
        <f t="shared" si="30"/>
        <v>3855</v>
      </c>
      <c r="R61" s="383">
        <f t="shared" si="59"/>
        <v>4448670</v>
      </c>
      <c r="S61" s="383">
        <f>'Table 6 (Local Deduct Calc.)'!J62</f>
        <v>1166440.5</v>
      </c>
      <c r="T61" s="383">
        <f t="shared" si="31"/>
        <v>1166440.5</v>
      </c>
      <c r="U61" s="384">
        <f t="shared" si="32"/>
        <v>3282229.5</v>
      </c>
      <c r="V61" s="385">
        <f t="shared" si="52"/>
        <v>0.73780000000000001</v>
      </c>
      <c r="W61" s="385">
        <f t="shared" si="33"/>
        <v>0.26219999999999999</v>
      </c>
      <c r="X61" s="386">
        <f t="shared" si="60"/>
        <v>1710.3233137829911</v>
      </c>
      <c r="Y61" s="383">
        <f>'Table 7 Local Revenue'!AQ61</f>
        <v>2396074.5</v>
      </c>
      <c r="Z61" s="383">
        <f t="shared" si="34"/>
        <v>1229634</v>
      </c>
      <c r="AA61" s="280">
        <f t="shared" si="35"/>
        <v>0</v>
      </c>
      <c r="AB61" s="14">
        <f t="shared" si="36"/>
        <v>1512547.8</v>
      </c>
      <c r="AC61" s="14">
        <f t="shared" si="37"/>
        <v>1229634</v>
      </c>
      <c r="AD61" s="383">
        <f t="shared" si="38"/>
        <v>554545.25985599996</v>
      </c>
      <c r="AE61" s="387">
        <f t="shared" si="39"/>
        <v>675088.74014400004</v>
      </c>
      <c r="AF61" s="16">
        <f t="shared" si="40"/>
        <v>0.54900000000000004</v>
      </c>
      <c r="AG61" s="387">
        <f t="shared" si="41"/>
        <v>3957318.2401439999</v>
      </c>
      <c r="AH61" s="14">
        <f t="shared" si="61"/>
        <v>5803</v>
      </c>
      <c r="AI61" s="387">
        <f>'Table 4 Level 3'!O59</f>
        <v>101810</v>
      </c>
      <c r="AJ61" s="14">
        <f t="shared" si="62"/>
        <v>149.28152492668622</v>
      </c>
      <c r="AK61" s="387">
        <f t="shared" si="42"/>
        <v>4059128.2401439999</v>
      </c>
      <c r="AL61" s="14">
        <f t="shared" si="63"/>
        <v>5951.8009386275662</v>
      </c>
      <c r="AM61" s="505">
        <f>'Table 4 Level 3'!R59</f>
        <v>750698.9</v>
      </c>
      <c r="AN61" s="506">
        <f t="shared" si="64"/>
        <v>1100.7315249266862</v>
      </c>
      <c r="AO61" s="387">
        <f t="shared" si="43"/>
        <v>4708017.1401439998</v>
      </c>
      <c r="AP61" s="14">
        <f t="shared" si="65"/>
        <v>6903.250938627566</v>
      </c>
      <c r="AQ61" s="16">
        <f t="shared" si="44"/>
        <v>0.66271908903029975</v>
      </c>
      <c r="AR61" s="388">
        <f t="shared" si="45"/>
        <v>29</v>
      </c>
      <c r="AS61" s="14">
        <f t="shared" si="46"/>
        <v>2396074.5</v>
      </c>
      <c r="AT61" s="14">
        <f t="shared" si="66"/>
        <v>3513.31</v>
      </c>
      <c r="AU61" s="388">
        <f t="shared" si="47"/>
        <v>27</v>
      </c>
      <c r="AV61" s="16">
        <f t="shared" si="48"/>
        <v>0.3372809109697002</v>
      </c>
      <c r="AW61" s="388">
        <f t="shared" si="49"/>
        <v>7104091.6401439998</v>
      </c>
      <c r="AX61" s="389">
        <f t="shared" si="67"/>
        <v>10416.556657102639</v>
      </c>
      <c r="AY61" s="388">
        <f t="shared" si="50"/>
        <v>3</v>
      </c>
      <c r="AZ61" s="1212">
        <v>4859698.7396802828</v>
      </c>
      <c r="BA61" s="280">
        <f t="shared" si="51"/>
        <v>-151681.59953628294</v>
      </c>
      <c r="BB61" s="1872"/>
      <c r="BC61" s="347"/>
      <c r="BD61" s="347"/>
      <c r="BE61" s="347"/>
      <c r="BF61" s="347"/>
      <c r="BG61" s="347"/>
      <c r="BH61" s="347"/>
      <c r="BI61" s="347"/>
      <c r="BJ61" s="347"/>
      <c r="BK61" s="347"/>
      <c r="BL61" s="168"/>
      <c r="BM61" s="168"/>
      <c r="BN61" s="1899"/>
      <c r="BO61" s="168"/>
      <c r="BP61" s="168"/>
      <c r="BQ61" s="188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</row>
    <row r="62" spans="1:149" s="21" customFormat="1">
      <c r="A62" s="102">
        <v>55</v>
      </c>
      <c r="B62" s="82" t="s">
        <v>146</v>
      </c>
      <c r="C62" s="82">
        <f>'2-1-13 SIS'!S61</f>
        <v>17756</v>
      </c>
      <c r="D62" s="82">
        <f>'[3]2-1-13-Supreme Court Ruling'!AE60</f>
        <v>11839</v>
      </c>
      <c r="E62" s="82">
        <f t="shared" si="53"/>
        <v>2605</v>
      </c>
      <c r="F62" s="82">
        <f>'[4]CTE-Oct 2012-Supreme Court'!AC61</f>
        <v>6229.5</v>
      </c>
      <c r="G62" s="82">
        <f t="shared" si="54"/>
        <v>374</v>
      </c>
      <c r="H62" s="82">
        <f>'[5]SWD 2-1-13 Supreme Court'!Z60</f>
        <v>2156</v>
      </c>
      <c r="I62" s="82">
        <f t="shared" si="27"/>
        <v>3234</v>
      </c>
      <c r="J62" s="82">
        <f>'[6]GT_PS-12th Supreme Court'!T59</f>
        <v>690</v>
      </c>
      <c r="K62" s="82">
        <f t="shared" si="28"/>
        <v>414</v>
      </c>
      <c r="L62" s="19">
        <f t="shared" si="55"/>
        <v>0</v>
      </c>
      <c r="M62" s="66">
        <f t="shared" si="56"/>
        <v>0</v>
      </c>
      <c r="N62" s="19">
        <f t="shared" si="57"/>
        <v>0</v>
      </c>
      <c r="O62" s="19">
        <f t="shared" si="29"/>
        <v>6627</v>
      </c>
      <c r="P62" s="13">
        <f t="shared" si="58"/>
        <v>24383</v>
      </c>
      <c r="Q62" s="390">
        <f t="shared" si="30"/>
        <v>3855</v>
      </c>
      <c r="R62" s="390">
        <f t="shared" si="59"/>
        <v>93996465</v>
      </c>
      <c r="S62" s="390">
        <f>'Table 6 (Local Deduct Calc.)'!J63</f>
        <v>32313393.5</v>
      </c>
      <c r="T62" s="390">
        <f t="shared" si="31"/>
        <v>32313393.5</v>
      </c>
      <c r="U62" s="391">
        <f t="shared" si="32"/>
        <v>61683071.5</v>
      </c>
      <c r="V62" s="392">
        <f t="shared" si="52"/>
        <v>0.65620000000000001</v>
      </c>
      <c r="W62" s="393">
        <f t="shared" si="33"/>
        <v>0.34379999999999999</v>
      </c>
      <c r="X62" s="394">
        <f t="shared" si="60"/>
        <v>1819.8577100698355</v>
      </c>
      <c r="Y62" s="390">
        <f>'Table 7 Local Revenue'!AQ62</f>
        <v>56116188.5</v>
      </c>
      <c r="Z62" s="390">
        <f t="shared" si="34"/>
        <v>23802795</v>
      </c>
      <c r="AA62" s="281">
        <f t="shared" si="35"/>
        <v>0</v>
      </c>
      <c r="AB62" s="20">
        <f t="shared" si="36"/>
        <v>31958798.100000001</v>
      </c>
      <c r="AC62" s="20">
        <f t="shared" si="37"/>
        <v>23802795</v>
      </c>
      <c r="AD62" s="390">
        <f t="shared" si="38"/>
        <v>14075449.58412</v>
      </c>
      <c r="AE62" s="395">
        <f t="shared" si="39"/>
        <v>9727345.4158800002</v>
      </c>
      <c r="AF62" s="274">
        <f t="shared" si="40"/>
        <v>0.40870000000000001</v>
      </c>
      <c r="AG62" s="395">
        <f t="shared" si="41"/>
        <v>71410416.915879995</v>
      </c>
      <c r="AH62" s="20">
        <f t="shared" si="61"/>
        <v>4022</v>
      </c>
      <c r="AI62" s="395">
        <f>'Table 4 Level 3'!O60</f>
        <v>2650631</v>
      </c>
      <c r="AJ62" s="20">
        <f t="shared" si="62"/>
        <v>149.2808628069385</v>
      </c>
      <c r="AK62" s="395">
        <f t="shared" si="42"/>
        <v>74061047.915879995</v>
      </c>
      <c r="AL62" s="20">
        <f t="shared" si="63"/>
        <v>4171.0434735233157</v>
      </c>
      <c r="AM62" s="507">
        <f>'Table 4 Level 3'!R60</f>
        <v>16769136.84</v>
      </c>
      <c r="AN62" s="508">
        <f t="shared" si="64"/>
        <v>944.42086280693854</v>
      </c>
      <c r="AO62" s="395">
        <f t="shared" si="43"/>
        <v>88179553.755879998</v>
      </c>
      <c r="AP62" s="20">
        <f t="shared" si="65"/>
        <v>4966.183473523316</v>
      </c>
      <c r="AQ62" s="274">
        <f t="shared" si="44"/>
        <v>0.61110294993674152</v>
      </c>
      <c r="AR62" s="396">
        <f t="shared" si="45"/>
        <v>40</v>
      </c>
      <c r="AS62" s="20">
        <f t="shared" si="46"/>
        <v>56116188.5</v>
      </c>
      <c r="AT62" s="20">
        <f t="shared" si="66"/>
        <v>3160.41</v>
      </c>
      <c r="AU62" s="396">
        <f t="shared" si="47"/>
        <v>37</v>
      </c>
      <c r="AV62" s="274">
        <f t="shared" si="48"/>
        <v>0.38889705006325842</v>
      </c>
      <c r="AW62" s="396">
        <f t="shared" si="49"/>
        <v>144295742.25588</v>
      </c>
      <c r="AX62" s="397">
        <f t="shared" si="67"/>
        <v>8126.5905753480511</v>
      </c>
      <c r="AY62" s="396">
        <f t="shared" si="50"/>
        <v>61</v>
      </c>
      <c r="AZ62" s="1213">
        <v>86583826.970449448</v>
      </c>
      <c r="BA62" s="281">
        <f t="shared" si="51"/>
        <v>1595726.7854305506</v>
      </c>
      <c r="BB62" s="1874"/>
      <c r="BC62" s="347"/>
      <c r="BD62" s="347"/>
      <c r="BE62" s="347"/>
      <c r="BF62" s="347"/>
      <c r="BG62" s="347"/>
      <c r="BH62" s="347"/>
      <c r="BI62" s="347"/>
      <c r="BJ62" s="347"/>
      <c r="BK62" s="347"/>
      <c r="BL62" s="168"/>
      <c r="BM62" s="168"/>
      <c r="BN62" s="1899"/>
      <c r="BO62" s="168"/>
      <c r="BP62" s="168"/>
      <c r="BQ62" s="188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</row>
    <row r="63" spans="1:149" s="5" customFormat="1">
      <c r="A63" s="101">
        <v>56</v>
      </c>
      <c r="B63" s="81" t="s">
        <v>147</v>
      </c>
      <c r="C63" s="81">
        <f>'2-1-13 SIS'!S62+1</f>
        <v>2860</v>
      </c>
      <c r="D63" s="81">
        <f>'[3]2-1-13-Supreme Court Ruling'!AE61</f>
        <v>2092</v>
      </c>
      <c r="E63" s="81">
        <f t="shared" si="53"/>
        <v>460</v>
      </c>
      <c r="F63" s="81">
        <f>'[4]CTE-Oct 2012-Supreme Court'!AC62</f>
        <v>807</v>
      </c>
      <c r="G63" s="81">
        <f t="shared" si="54"/>
        <v>48</v>
      </c>
      <c r="H63" s="1287">
        <f>'[5]SWD 2-1-13 Supreme Court'!Z61</f>
        <v>373</v>
      </c>
      <c r="I63" s="1287">
        <f t="shared" si="27"/>
        <v>559.5</v>
      </c>
      <c r="J63" s="1287">
        <f>'[6]GT_PS-12th Supreme Court'!T60</f>
        <v>22</v>
      </c>
      <c r="K63" s="1287">
        <f t="shared" si="28"/>
        <v>13.2</v>
      </c>
      <c r="L63" s="13">
        <f t="shared" si="55"/>
        <v>4640</v>
      </c>
      <c r="M63" s="65">
        <f t="shared" si="56"/>
        <v>0.12373000000000001</v>
      </c>
      <c r="N63" s="13">
        <f t="shared" si="57"/>
        <v>354</v>
      </c>
      <c r="O63" s="13">
        <f t="shared" si="29"/>
        <v>1434.7</v>
      </c>
      <c r="P63" s="36">
        <f t="shared" si="58"/>
        <v>4294.7</v>
      </c>
      <c r="Q63" s="383">
        <f t="shared" si="30"/>
        <v>3855</v>
      </c>
      <c r="R63" s="383">
        <f t="shared" si="59"/>
        <v>16556069</v>
      </c>
      <c r="S63" s="383">
        <f>'Table 6 (Local Deduct Calc.)'!J64</f>
        <v>4621026</v>
      </c>
      <c r="T63" s="383">
        <f t="shared" si="31"/>
        <v>4621026</v>
      </c>
      <c r="U63" s="384">
        <f t="shared" si="32"/>
        <v>11935043</v>
      </c>
      <c r="V63" s="385">
        <f t="shared" si="52"/>
        <v>0.72089999999999999</v>
      </c>
      <c r="W63" s="385">
        <f t="shared" si="33"/>
        <v>0.27910000000000001</v>
      </c>
      <c r="X63" s="386">
        <f t="shared" si="60"/>
        <v>1615.7433566433567</v>
      </c>
      <c r="Y63" s="383">
        <f>'Table 7 Local Revenue'!AQ63</f>
        <v>8175594</v>
      </c>
      <c r="Z63" s="383">
        <f t="shared" si="34"/>
        <v>3554568</v>
      </c>
      <c r="AA63" s="280">
        <f t="shared" si="35"/>
        <v>0</v>
      </c>
      <c r="AB63" s="14">
        <f t="shared" si="36"/>
        <v>5629063.46</v>
      </c>
      <c r="AC63" s="14">
        <f t="shared" si="37"/>
        <v>3554568</v>
      </c>
      <c r="AD63" s="383">
        <f t="shared" si="38"/>
        <v>1706377.4775360001</v>
      </c>
      <c r="AE63" s="387">
        <f t="shared" si="39"/>
        <v>1848190.5224639999</v>
      </c>
      <c r="AF63" s="16">
        <f t="shared" si="40"/>
        <v>0.51990000000000003</v>
      </c>
      <c r="AG63" s="387">
        <f t="shared" si="41"/>
        <v>13783233.522464</v>
      </c>
      <c r="AH63" s="14">
        <f t="shared" si="61"/>
        <v>4819</v>
      </c>
      <c r="AI63" s="387">
        <f>'Table 4 Level 3'!O61</f>
        <v>426943</v>
      </c>
      <c r="AJ63" s="14">
        <f t="shared" si="62"/>
        <v>149.28076923076924</v>
      </c>
      <c r="AK63" s="387">
        <f t="shared" si="42"/>
        <v>14210176.522464</v>
      </c>
      <c r="AL63" s="14">
        <f t="shared" si="63"/>
        <v>4968.593189672727</v>
      </c>
      <c r="AM63" s="505">
        <f>'Table 4 Level 3'!R61</f>
        <v>2184870.6000000006</v>
      </c>
      <c r="AN63" s="506">
        <f t="shared" si="64"/>
        <v>763.94076923076943</v>
      </c>
      <c r="AO63" s="387">
        <f>AG63+AM63</f>
        <v>15968104.122464001</v>
      </c>
      <c r="AP63" s="14">
        <f t="shared" si="65"/>
        <v>5583.2531896727278</v>
      </c>
      <c r="AQ63" s="16">
        <f t="shared" si="44"/>
        <v>0.66137772438460085</v>
      </c>
      <c r="AR63" s="388">
        <f t="shared" si="45"/>
        <v>30</v>
      </c>
      <c r="AS63" s="14">
        <f t="shared" si="46"/>
        <v>8175594</v>
      </c>
      <c r="AT63" s="14">
        <f t="shared" si="66"/>
        <v>2858.6</v>
      </c>
      <c r="AU63" s="388">
        <f t="shared" si="47"/>
        <v>48</v>
      </c>
      <c r="AV63" s="16">
        <f t="shared" si="48"/>
        <v>0.33862227561539915</v>
      </c>
      <c r="AW63" s="388">
        <f t="shared" si="49"/>
        <v>24143698.122464001</v>
      </c>
      <c r="AX63" s="389">
        <f t="shared" si="67"/>
        <v>8441.8524903720281</v>
      </c>
      <c r="AY63" s="388">
        <f t="shared" si="50"/>
        <v>53</v>
      </c>
      <c r="AZ63" s="1212">
        <v>16053855.210096002</v>
      </c>
      <c r="BA63" s="280">
        <f t="shared" si="51"/>
        <v>-85751.087632000446</v>
      </c>
      <c r="BB63" s="1872"/>
      <c r="BC63" s="347"/>
      <c r="BD63" s="347"/>
      <c r="BE63" s="347"/>
      <c r="BF63" s="347"/>
      <c r="BG63" s="347"/>
      <c r="BH63" s="347"/>
      <c r="BI63" s="347"/>
      <c r="BJ63" s="347"/>
      <c r="BK63" s="347"/>
      <c r="BL63" s="168"/>
      <c r="BM63" s="168"/>
      <c r="BN63" s="1899"/>
      <c r="BO63" s="168"/>
      <c r="BP63" s="168"/>
      <c r="BQ63" s="1881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</row>
    <row r="64" spans="1:149" s="5" customFormat="1">
      <c r="A64" s="101">
        <v>57</v>
      </c>
      <c r="B64" s="81" t="s">
        <v>148</v>
      </c>
      <c r="C64" s="81">
        <f>'2-1-13 SIS'!S63</f>
        <v>9047</v>
      </c>
      <c r="D64" s="81">
        <f>'[3]2-1-13-Supreme Court Ruling'!AE62</f>
        <v>5255</v>
      </c>
      <c r="E64" s="81">
        <f t="shared" si="53"/>
        <v>1156</v>
      </c>
      <c r="F64" s="81">
        <f>'[4]CTE-Oct 2012-Supreme Court'!AC63</f>
        <v>3235.5</v>
      </c>
      <c r="G64" s="81">
        <f t="shared" si="54"/>
        <v>194</v>
      </c>
      <c r="H64" s="1287">
        <f>'[5]SWD 2-1-13 Supreme Court'!Z62</f>
        <v>1093</v>
      </c>
      <c r="I64" s="1287">
        <f t="shared" si="27"/>
        <v>1639.5</v>
      </c>
      <c r="J64" s="1287">
        <f>'[6]GT_PS-12th Supreme Court'!T61</f>
        <v>187</v>
      </c>
      <c r="K64" s="1287">
        <f t="shared" si="28"/>
        <v>112.2</v>
      </c>
      <c r="L64" s="13">
        <f t="shared" si="55"/>
        <v>0</v>
      </c>
      <c r="M64" s="65">
        <f t="shared" si="56"/>
        <v>0</v>
      </c>
      <c r="N64" s="13">
        <f t="shared" si="57"/>
        <v>0</v>
      </c>
      <c r="O64" s="13">
        <f t="shared" si="29"/>
        <v>3101.7</v>
      </c>
      <c r="P64" s="13">
        <f t="shared" si="58"/>
        <v>12148.7</v>
      </c>
      <c r="Q64" s="383">
        <f t="shared" si="30"/>
        <v>3855</v>
      </c>
      <c r="R64" s="383">
        <f t="shared" si="59"/>
        <v>46833239</v>
      </c>
      <c r="S64" s="383">
        <f>'Table 6 (Local Deduct Calc.)'!J65</f>
        <v>13644916</v>
      </c>
      <c r="T64" s="383">
        <f t="shared" si="31"/>
        <v>13644916</v>
      </c>
      <c r="U64" s="384">
        <f t="shared" si="32"/>
        <v>33188323</v>
      </c>
      <c r="V64" s="385">
        <f t="shared" si="52"/>
        <v>0.70860000000000001</v>
      </c>
      <c r="W64" s="385">
        <f t="shared" si="33"/>
        <v>0.29139999999999999</v>
      </c>
      <c r="X64" s="386">
        <f t="shared" si="60"/>
        <v>1508.225489112413</v>
      </c>
      <c r="Y64" s="383">
        <f>'Table 7 Local Revenue'!AQ64</f>
        <v>25760842</v>
      </c>
      <c r="Z64" s="383">
        <f t="shared" si="34"/>
        <v>12115926</v>
      </c>
      <c r="AA64" s="280">
        <f t="shared" si="35"/>
        <v>0</v>
      </c>
      <c r="AB64" s="14">
        <f t="shared" si="36"/>
        <v>15923301.260000002</v>
      </c>
      <c r="AC64" s="14">
        <f t="shared" si="37"/>
        <v>12115926</v>
      </c>
      <c r="AD64" s="383">
        <f t="shared" si="38"/>
        <v>6072599.0386079997</v>
      </c>
      <c r="AE64" s="387">
        <f t="shared" si="39"/>
        <v>6043326.9613920003</v>
      </c>
      <c r="AF64" s="16">
        <f t="shared" si="40"/>
        <v>0.49880000000000002</v>
      </c>
      <c r="AG64" s="387">
        <f t="shared" si="41"/>
        <v>39231649.961392</v>
      </c>
      <c r="AH64" s="14">
        <f t="shared" si="61"/>
        <v>4336</v>
      </c>
      <c r="AI64" s="387">
        <f>'Table 4 Level 3'!O62</f>
        <v>1350544</v>
      </c>
      <c r="AJ64" s="14">
        <f t="shared" si="62"/>
        <v>149.28086658560849</v>
      </c>
      <c r="AK64" s="387">
        <f t="shared" si="42"/>
        <v>40582193.961392</v>
      </c>
      <c r="AL64" s="14">
        <f t="shared" si="63"/>
        <v>4485.7073020218859</v>
      </c>
      <c r="AM64" s="505">
        <f>'Table 4 Level 3'!R62</f>
        <v>8267065.9699999997</v>
      </c>
      <c r="AN64" s="506">
        <f t="shared" si="64"/>
        <v>913.79086658560846</v>
      </c>
      <c r="AO64" s="387">
        <f t="shared" si="43"/>
        <v>47498715.931391999</v>
      </c>
      <c r="AP64" s="14">
        <f t="shared" si="65"/>
        <v>5250.2173020218852</v>
      </c>
      <c r="AQ64" s="16">
        <f t="shared" si="44"/>
        <v>0.64836203319537944</v>
      </c>
      <c r="AR64" s="388">
        <f t="shared" si="45"/>
        <v>35</v>
      </c>
      <c r="AS64" s="14">
        <f t="shared" si="46"/>
        <v>25760842</v>
      </c>
      <c r="AT64" s="14">
        <f t="shared" si="66"/>
        <v>2847.45</v>
      </c>
      <c r="AU64" s="388">
        <f t="shared" si="47"/>
        <v>49</v>
      </c>
      <c r="AV64" s="16">
        <f t="shared" si="48"/>
        <v>0.35163796680462062</v>
      </c>
      <c r="AW64" s="388">
        <f t="shared" si="49"/>
        <v>73259557.931391999</v>
      </c>
      <c r="AX64" s="389">
        <f t="shared" si="67"/>
        <v>8097.663085154416</v>
      </c>
      <c r="AY64" s="388">
        <f t="shared" si="50"/>
        <v>63</v>
      </c>
      <c r="AZ64" s="1212">
        <v>45728966.601220809</v>
      </c>
      <c r="BA64" s="280">
        <f t="shared" si="51"/>
        <v>1769749.3301711902</v>
      </c>
      <c r="BB64" s="1872"/>
      <c r="BC64" s="347"/>
      <c r="BD64" s="347"/>
      <c r="BE64" s="347"/>
      <c r="BF64" s="347"/>
      <c r="BG64" s="347"/>
      <c r="BH64" s="347"/>
      <c r="BI64" s="347"/>
      <c r="BJ64" s="347"/>
      <c r="BK64" s="347"/>
      <c r="BL64" s="168"/>
      <c r="BM64" s="168"/>
      <c r="BN64" s="1899"/>
      <c r="BO64" s="168"/>
      <c r="BP64" s="168"/>
      <c r="BQ64" s="1881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</row>
    <row r="65" spans="1:149" s="5" customFormat="1">
      <c r="A65" s="101">
        <v>58</v>
      </c>
      <c r="B65" s="81" t="s">
        <v>149</v>
      </c>
      <c r="C65" s="81">
        <f>'2-1-13 SIS'!S64</f>
        <v>9090</v>
      </c>
      <c r="D65" s="81">
        <f>'[3]2-1-13-Supreme Court Ruling'!AE63</f>
        <v>5332</v>
      </c>
      <c r="E65" s="81">
        <f t="shared" si="53"/>
        <v>1173</v>
      </c>
      <c r="F65" s="81">
        <f>'[4]CTE-Oct 2012-Supreme Court'!AC64</f>
        <v>3275</v>
      </c>
      <c r="G65" s="81">
        <f t="shared" si="54"/>
        <v>197</v>
      </c>
      <c r="H65" s="1287">
        <f>'[5]SWD 2-1-13 Supreme Court'!Z63</f>
        <v>1021</v>
      </c>
      <c r="I65" s="1287">
        <f t="shared" si="27"/>
        <v>1531.5</v>
      </c>
      <c r="J65" s="1287">
        <f>'[6]GT_PS-12th Supreme Court'!T62</f>
        <v>233</v>
      </c>
      <c r="K65" s="1287">
        <f t="shared" si="28"/>
        <v>139.79999999999998</v>
      </c>
      <c r="L65" s="13">
        <f t="shared" si="55"/>
        <v>0</v>
      </c>
      <c r="M65" s="65">
        <f t="shared" si="56"/>
        <v>0</v>
      </c>
      <c r="N65" s="13">
        <f t="shared" si="57"/>
        <v>0</v>
      </c>
      <c r="O65" s="13">
        <f t="shared" si="29"/>
        <v>3041.3</v>
      </c>
      <c r="P65" s="13">
        <f t="shared" si="58"/>
        <v>12131.3</v>
      </c>
      <c r="Q65" s="383">
        <f t="shared" si="30"/>
        <v>3855</v>
      </c>
      <c r="R65" s="383">
        <f t="shared" si="59"/>
        <v>46766162</v>
      </c>
      <c r="S65" s="383">
        <f>'Table 6 (Local Deduct Calc.)'!J66</f>
        <v>7434561</v>
      </c>
      <c r="T65" s="383">
        <f t="shared" si="31"/>
        <v>7434561</v>
      </c>
      <c r="U65" s="384">
        <f t="shared" si="32"/>
        <v>39331601</v>
      </c>
      <c r="V65" s="385">
        <f t="shared" si="52"/>
        <v>0.84099999999999997</v>
      </c>
      <c r="W65" s="385">
        <f t="shared" si="33"/>
        <v>0.159</v>
      </c>
      <c r="X65" s="386">
        <f t="shared" si="60"/>
        <v>817.88349834983501</v>
      </c>
      <c r="Y65" s="383">
        <f>'Table 7 Local Revenue'!AQ65</f>
        <v>19717004</v>
      </c>
      <c r="Z65" s="383">
        <f t="shared" si="34"/>
        <v>12282443</v>
      </c>
      <c r="AA65" s="280">
        <f t="shared" si="35"/>
        <v>0</v>
      </c>
      <c r="AB65" s="14">
        <f t="shared" si="36"/>
        <v>15900495.080000002</v>
      </c>
      <c r="AC65" s="14">
        <f t="shared" si="37"/>
        <v>12282443</v>
      </c>
      <c r="AD65" s="383">
        <f t="shared" si="38"/>
        <v>3359002.5116400002</v>
      </c>
      <c r="AE65" s="387">
        <f t="shared" si="39"/>
        <v>8923440.4883599989</v>
      </c>
      <c r="AF65" s="16">
        <f t="shared" si="40"/>
        <v>0.72650000000000003</v>
      </c>
      <c r="AG65" s="387">
        <f t="shared" si="41"/>
        <v>48255041.488360003</v>
      </c>
      <c r="AH65" s="14">
        <f t="shared" si="61"/>
        <v>5309</v>
      </c>
      <c r="AI65" s="387">
        <f>'Table 4 Level 3'!O63</f>
        <v>1356963</v>
      </c>
      <c r="AJ65" s="14">
        <f t="shared" si="62"/>
        <v>149.28085808580857</v>
      </c>
      <c r="AK65" s="387">
        <f t="shared" si="42"/>
        <v>49612004.488360003</v>
      </c>
      <c r="AL65" s="14">
        <f t="shared" si="63"/>
        <v>5457.8662803476354</v>
      </c>
      <c r="AM65" s="505">
        <f>'Table 4 Level 3'!R63</f>
        <v>7693056.5999999996</v>
      </c>
      <c r="AN65" s="506">
        <f t="shared" si="64"/>
        <v>846.3208580858086</v>
      </c>
      <c r="AO65" s="387">
        <f t="shared" si="43"/>
        <v>55948098.088360004</v>
      </c>
      <c r="AP65" s="14">
        <f t="shared" si="65"/>
        <v>6154.9062803476354</v>
      </c>
      <c r="AQ65" s="16">
        <f t="shared" si="44"/>
        <v>0.73941746649631246</v>
      </c>
      <c r="AR65" s="388">
        <f t="shared" si="45"/>
        <v>8</v>
      </c>
      <c r="AS65" s="14">
        <f t="shared" si="46"/>
        <v>19717004</v>
      </c>
      <c r="AT65" s="14">
        <f t="shared" si="66"/>
        <v>2169.09</v>
      </c>
      <c r="AU65" s="388">
        <f t="shared" si="47"/>
        <v>61</v>
      </c>
      <c r="AV65" s="16">
        <f t="shared" si="48"/>
        <v>0.26058253350368737</v>
      </c>
      <c r="AW65" s="388">
        <f t="shared" si="49"/>
        <v>75665102.088360012</v>
      </c>
      <c r="AX65" s="389">
        <f t="shared" si="67"/>
        <v>8323.9936290825099</v>
      </c>
      <c r="AY65" s="388">
        <f t="shared" si="50"/>
        <v>55</v>
      </c>
      <c r="AZ65" s="1212">
        <v>57183868.69122</v>
      </c>
      <c r="BA65" s="280">
        <f t="shared" si="51"/>
        <v>-1235770.6028599963</v>
      </c>
      <c r="BB65" s="1873"/>
      <c r="BC65" s="347"/>
      <c r="BD65" s="347"/>
      <c r="BE65" s="347"/>
      <c r="BF65" s="347"/>
      <c r="BG65" s="347"/>
      <c r="BH65" s="347"/>
      <c r="BI65" s="347"/>
      <c r="BJ65" s="347"/>
      <c r="BK65" s="347"/>
      <c r="BL65" s="168"/>
      <c r="BM65" s="168"/>
      <c r="BN65" s="1899"/>
      <c r="BO65" s="168"/>
      <c r="BP65" s="168"/>
      <c r="BQ65" s="1881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</row>
    <row r="66" spans="1:149" s="5" customFormat="1">
      <c r="A66" s="101">
        <v>59</v>
      </c>
      <c r="B66" s="81" t="s">
        <v>150</v>
      </c>
      <c r="C66" s="81">
        <f>'2-1-13 SIS'!S65</f>
        <v>5247</v>
      </c>
      <c r="D66" s="81">
        <f>'[3]2-1-13-Supreme Court Ruling'!AE64</f>
        <v>4441</v>
      </c>
      <c r="E66" s="81">
        <f t="shared" si="53"/>
        <v>977</v>
      </c>
      <c r="F66" s="81">
        <f>'[4]CTE-Oct 2012-Supreme Court'!AC65</f>
        <v>2144.5</v>
      </c>
      <c r="G66" s="81">
        <f t="shared" si="54"/>
        <v>129</v>
      </c>
      <c r="H66" s="1287">
        <f>'[5]SWD 2-1-13 Supreme Court'!Z64</f>
        <v>828</v>
      </c>
      <c r="I66" s="1287">
        <f t="shared" si="27"/>
        <v>1242</v>
      </c>
      <c r="J66" s="1287">
        <f>'[6]GT_PS-12th Supreme Court'!T63</f>
        <v>327</v>
      </c>
      <c r="K66" s="1287">
        <f t="shared" si="28"/>
        <v>196.2</v>
      </c>
      <c r="L66" s="13">
        <f t="shared" si="55"/>
        <v>2253</v>
      </c>
      <c r="M66" s="65">
        <f t="shared" si="56"/>
        <v>6.0080000000000001E-2</v>
      </c>
      <c r="N66" s="13">
        <f t="shared" si="57"/>
        <v>315</v>
      </c>
      <c r="O66" s="13">
        <f t="shared" si="29"/>
        <v>2859.2</v>
      </c>
      <c r="P66" s="13">
        <f t="shared" si="58"/>
        <v>8106.2</v>
      </c>
      <c r="Q66" s="383">
        <f t="shared" si="30"/>
        <v>3855</v>
      </c>
      <c r="R66" s="383">
        <f t="shared" si="59"/>
        <v>31249401</v>
      </c>
      <c r="S66" s="383">
        <f>'Table 6 (Local Deduct Calc.)'!J67</f>
        <v>3224727</v>
      </c>
      <c r="T66" s="383">
        <f t="shared" si="31"/>
        <v>3224727</v>
      </c>
      <c r="U66" s="384">
        <f t="shared" si="32"/>
        <v>28024674</v>
      </c>
      <c r="V66" s="385">
        <f t="shared" si="52"/>
        <v>0.89680000000000004</v>
      </c>
      <c r="W66" s="385">
        <f t="shared" si="33"/>
        <v>0.1032</v>
      </c>
      <c r="X66" s="386">
        <f t="shared" si="60"/>
        <v>614.58490566037733</v>
      </c>
      <c r="Y66" s="383">
        <f>'Table 7 Local Revenue'!AQ66</f>
        <v>8225589</v>
      </c>
      <c r="Z66" s="383">
        <f t="shared" si="34"/>
        <v>5000862</v>
      </c>
      <c r="AA66" s="280">
        <f t="shared" si="35"/>
        <v>0</v>
      </c>
      <c r="AB66" s="14">
        <f t="shared" si="36"/>
        <v>10624796.34</v>
      </c>
      <c r="AC66" s="14">
        <f t="shared" si="37"/>
        <v>5000862</v>
      </c>
      <c r="AD66" s="383">
        <f t="shared" si="38"/>
        <v>887673.00844799995</v>
      </c>
      <c r="AE66" s="387">
        <f t="shared" si="39"/>
        <v>4113188.9915519999</v>
      </c>
      <c r="AF66" s="16">
        <f t="shared" si="40"/>
        <v>0.82250000000000001</v>
      </c>
      <c r="AG66" s="387">
        <f t="shared" si="41"/>
        <v>32137862.991551999</v>
      </c>
      <c r="AH66" s="14">
        <f t="shared" si="61"/>
        <v>6125</v>
      </c>
      <c r="AI66" s="387">
        <f>'Table 4 Level 3'!O64</f>
        <v>783277</v>
      </c>
      <c r="AJ66" s="14">
        <f t="shared" si="62"/>
        <v>149.28092243186583</v>
      </c>
      <c r="AK66" s="387">
        <f t="shared" si="42"/>
        <v>32921139.991551999</v>
      </c>
      <c r="AL66" s="14">
        <f t="shared" si="63"/>
        <v>6274.2786338006481</v>
      </c>
      <c r="AM66" s="505">
        <f>'Table 4 Level 3'!R64</f>
        <v>4401188.4399999995</v>
      </c>
      <c r="AN66" s="506">
        <f t="shared" si="64"/>
        <v>838.80092243186573</v>
      </c>
      <c r="AO66" s="387">
        <f t="shared" si="43"/>
        <v>36539051.431552</v>
      </c>
      <c r="AP66" s="14">
        <f t="shared" si="65"/>
        <v>6963.7986338006476</v>
      </c>
      <c r="AQ66" s="16">
        <f t="shared" si="44"/>
        <v>0.81624807167662938</v>
      </c>
      <c r="AR66" s="388">
        <f t="shared" si="45"/>
        <v>1</v>
      </c>
      <c r="AS66" s="14">
        <f t="shared" si="46"/>
        <v>8225589</v>
      </c>
      <c r="AT66" s="14">
        <f t="shared" si="66"/>
        <v>1567.67</v>
      </c>
      <c r="AU66" s="388">
        <f t="shared" si="47"/>
        <v>68</v>
      </c>
      <c r="AV66" s="16">
        <f t="shared" si="48"/>
        <v>0.18375192832337059</v>
      </c>
      <c r="AW66" s="388">
        <f t="shared" si="49"/>
        <v>44764640.431552</v>
      </c>
      <c r="AX66" s="389">
        <f t="shared" si="67"/>
        <v>8531.4733050413579</v>
      </c>
      <c r="AY66" s="388">
        <f t="shared" si="50"/>
        <v>49</v>
      </c>
      <c r="AZ66" s="1212">
        <v>36387242.653219998</v>
      </c>
      <c r="BA66" s="280">
        <f t="shared" si="51"/>
        <v>151808.77833200246</v>
      </c>
      <c r="BB66" s="1873"/>
      <c r="BC66" s="347"/>
      <c r="BD66" s="347"/>
      <c r="BE66" s="347"/>
      <c r="BF66" s="347"/>
      <c r="BG66" s="347"/>
      <c r="BH66" s="347"/>
      <c r="BI66" s="347"/>
      <c r="BJ66" s="347"/>
      <c r="BK66" s="347"/>
      <c r="BL66" s="168"/>
      <c r="BM66" s="168"/>
      <c r="BN66" s="1899"/>
      <c r="BO66" s="168"/>
      <c r="BP66" s="168"/>
      <c r="BQ66" s="1881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</row>
    <row r="67" spans="1:149" s="21" customFormat="1">
      <c r="A67" s="102">
        <v>60</v>
      </c>
      <c r="B67" s="82" t="s">
        <v>151</v>
      </c>
      <c r="C67" s="82">
        <f>'2-1-13 SIS'!S66</f>
        <v>6493</v>
      </c>
      <c r="D67" s="82">
        <f>'[3]2-1-13-Supreme Court Ruling'!AE65</f>
        <v>4376</v>
      </c>
      <c r="E67" s="82">
        <f t="shared" si="53"/>
        <v>963</v>
      </c>
      <c r="F67" s="82">
        <f>'[4]CTE-Oct 2012-Supreme Court'!AC66</f>
        <v>2673</v>
      </c>
      <c r="G67" s="82">
        <f t="shared" si="54"/>
        <v>160</v>
      </c>
      <c r="H67" s="82">
        <f>'[5]SWD 2-1-13 Supreme Court'!Z65</f>
        <v>702</v>
      </c>
      <c r="I67" s="82">
        <f t="shared" si="27"/>
        <v>1053</v>
      </c>
      <c r="J67" s="82">
        <f>'[6]GT_PS-12th Supreme Court'!T64</f>
        <v>302</v>
      </c>
      <c r="K67" s="82">
        <f t="shared" si="28"/>
        <v>181.2</v>
      </c>
      <c r="L67" s="19">
        <f t="shared" si="55"/>
        <v>1007</v>
      </c>
      <c r="M67" s="66">
        <f t="shared" si="56"/>
        <v>2.6849999999999999E-2</v>
      </c>
      <c r="N67" s="19">
        <f t="shared" si="57"/>
        <v>174</v>
      </c>
      <c r="O67" s="19">
        <f t="shared" si="29"/>
        <v>2531.1999999999998</v>
      </c>
      <c r="P67" s="13">
        <f t="shared" si="58"/>
        <v>9024.2000000000007</v>
      </c>
      <c r="Q67" s="390">
        <f t="shared" si="30"/>
        <v>3855</v>
      </c>
      <c r="R67" s="390">
        <f t="shared" si="59"/>
        <v>34788291</v>
      </c>
      <c r="S67" s="390">
        <f>'Table 6 (Local Deduct Calc.)'!J68</f>
        <v>9783432</v>
      </c>
      <c r="T67" s="390">
        <f t="shared" si="31"/>
        <v>9783432</v>
      </c>
      <c r="U67" s="391">
        <f t="shared" si="32"/>
        <v>25004859</v>
      </c>
      <c r="V67" s="392">
        <f t="shared" si="52"/>
        <v>0.71879999999999999</v>
      </c>
      <c r="W67" s="393">
        <f t="shared" si="33"/>
        <v>0.28120000000000001</v>
      </c>
      <c r="X67" s="394">
        <f t="shared" si="60"/>
        <v>1506.7660557523486</v>
      </c>
      <c r="Y67" s="390">
        <f>'Table 7 Local Revenue'!AQ67</f>
        <v>26292855</v>
      </c>
      <c r="Z67" s="390">
        <f t="shared" si="34"/>
        <v>16509423</v>
      </c>
      <c r="AA67" s="281">
        <f t="shared" si="35"/>
        <v>0</v>
      </c>
      <c r="AB67" s="20">
        <f t="shared" si="36"/>
        <v>11828018.940000001</v>
      </c>
      <c r="AC67" s="20">
        <f t="shared" si="37"/>
        <v>11828018.940000001</v>
      </c>
      <c r="AD67" s="390">
        <f t="shared" si="38"/>
        <v>5720786.9525961606</v>
      </c>
      <c r="AE67" s="395">
        <f t="shared" si="39"/>
        <v>6107231.9874038408</v>
      </c>
      <c r="AF67" s="274">
        <f t="shared" si="40"/>
        <v>0.51629999999999998</v>
      </c>
      <c r="AG67" s="395">
        <f t="shared" si="41"/>
        <v>31112090.98740384</v>
      </c>
      <c r="AH67" s="20">
        <f t="shared" si="61"/>
        <v>4792</v>
      </c>
      <c r="AI67" s="395">
        <f>'Table 4 Level 3'!O65</f>
        <v>969281</v>
      </c>
      <c r="AJ67" s="20">
        <f t="shared" si="62"/>
        <v>149.2809179115971</v>
      </c>
      <c r="AK67" s="395">
        <f t="shared" si="42"/>
        <v>32081371.98740384</v>
      </c>
      <c r="AL67" s="20">
        <f t="shared" si="63"/>
        <v>4940.9166775610411</v>
      </c>
      <c r="AM67" s="507">
        <f>'Table 4 Level 3'!R65</f>
        <v>4826382.72</v>
      </c>
      <c r="AN67" s="508">
        <f t="shared" si="64"/>
        <v>743.32091791159712</v>
      </c>
      <c r="AO67" s="395">
        <f t="shared" si="43"/>
        <v>35938473.707403839</v>
      </c>
      <c r="AP67" s="20">
        <f t="shared" si="65"/>
        <v>5534.956677561041</v>
      </c>
      <c r="AQ67" s="274">
        <f t="shared" si="44"/>
        <v>0.62447473089828065</v>
      </c>
      <c r="AR67" s="396">
        <f t="shared" si="45"/>
        <v>38</v>
      </c>
      <c r="AS67" s="20">
        <f t="shared" si="46"/>
        <v>21611450.940000001</v>
      </c>
      <c r="AT67" s="20">
        <f t="shared" si="66"/>
        <v>3328.42</v>
      </c>
      <c r="AU67" s="396">
        <f t="shared" si="47"/>
        <v>33</v>
      </c>
      <c r="AV67" s="274">
        <f t="shared" si="48"/>
        <v>0.37552526910171941</v>
      </c>
      <c r="AW67" s="396">
        <f t="shared" si="49"/>
        <v>57549924.647403836</v>
      </c>
      <c r="AX67" s="397">
        <f t="shared" si="67"/>
        <v>8863.3797393198583</v>
      </c>
      <c r="AY67" s="396">
        <f t="shared" si="50"/>
        <v>32</v>
      </c>
      <c r="AZ67" s="1213">
        <v>35082020.247507997</v>
      </c>
      <c r="BA67" s="281">
        <f t="shared" si="51"/>
        <v>856453.45989584178</v>
      </c>
      <c r="BB67" s="1876"/>
      <c r="BC67" s="347"/>
      <c r="BD67" s="347"/>
      <c r="BE67" s="347"/>
      <c r="BF67" s="347"/>
      <c r="BG67" s="347"/>
      <c r="BH67" s="347"/>
      <c r="BI67" s="347"/>
      <c r="BJ67" s="347"/>
      <c r="BK67" s="347"/>
      <c r="BL67" s="168"/>
      <c r="BM67" s="168"/>
      <c r="BN67" s="1899"/>
      <c r="BO67" s="168"/>
      <c r="BP67" s="168"/>
      <c r="BQ67" s="1882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</row>
    <row r="68" spans="1:149" s="5" customFormat="1">
      <c r="A68" s="101">
        <v>61</v>
      </c>
      <c r="B68" s="81" t="s">
        <v>152</v>
      </c>
      <c r="C68" s="81">
        <f>'2-1-13 SIS'!S67</f>
        <v>3620</v>
      </c>
      <c r="D68" s="81">
        <f>'[3]2-1-13-Supreme Court Ruling'!AE66</f>
        <v>2522</v>
      </c>
      <c r="E68" s="81">
        <f t="shared" si="53"/>
        <v>555</v>
      </c>
      <c r="F68" s="81">
        <f>'[4]CTE-Oct 2012-Supreme Court'!AC67</f>
        <v>1264</v>
      </c>
      <c r="G68" s="81">
        <f t="shared" si="54"/>
        <v>76</v>
      </c>
      <c r="H68" s="1287">
        <f>'[5]SWD 2-1-13 Supreme Court'!Z66</f>
        <v>363</v>
      </c>
      <c r="I68" s="1287">
        <f t="shared" si="27"/>
        <v>544.5</v>
      </c>
      <c r="J68" s="1287">
        <f>'[6]GT_PS-12th Supreme Court'!T65</f>
        <v>139</v>
      </c>
      <c r="K68" s="1287">
        <f t="shared" si="28"/>
        <v>83.399999999999991</v>
      </c>
      <c r="L68" s="13">
        <f t="shared" si="55"/>
        <v>3880</v>
      </c>
      <c r="M68" s="65">
        <f t="shared" si="56"/>
        <v>0.10347000000000001</v>
      </c>
      <c r="N68" s="13">
        <f t="shared" si="57"/>
        <v>375</v>
      </c>
      <c r="O68" s="13">
        <f t="shared" si="29"/>
        <v>1633.9</v>
      </c>
      <c r="P68" s="36">
        <f t="shared" si="58"/>
        <v>5253.9</v>
      </c>
      <c r="Q68" s="383">
        <f t="shared" si="30"/>
        <v>3855</v>
      </c>
      <c r="R68" s="383">
        <f t="shared" si="59"/>
        <v>20253785</v>
      </c>
      <c r="S68" s="383">
        <f>'Table 6 (Local Deduct Calc.)'!J69</f>
        <v>10823729.5</v>
      </c>
      <c r="T68" s="383">
        <f t="shared" si="31"/>
        <v>10823729.5</v>
      </c>
      <c r="U68" s="384">
        <f t="shared" si="32"/>
        <v>9430055.5</v>
      </c>
      <c r="V68" s="385">
        <f t="shared" si="52"/>
        <v>0.46560000000000001</v>
      </c>
      <c r="W68" s="385">
        <f t="shared" si="33"/>
        <v>0.53439999999999999</v>
      </c>
      <c r="X68" s="386">
        <f t="shared" si="60"/>
        <v>2989.9805248618786</v>
      </c>
      <c r="Y68" s="383">
        <f>'Table 7 Local Revenue'!AQ68</f>
        <v>24507329.5</v>
      </c>
      <c r="Z68" s="383">
        <f t="shared" si="34"/>
        <v>13683600</v>
      </c>
      <c r="AA68" s="280">
        <f t="shared" si="35"/>
        <v>0</v>
      </c>
      <c r="AB68" s="14">
        <f t="shared" si="36"/>
        <v>6886286.9000000004</v>
      </c>
      <c r="AC68" s="14">
        <f t="shared" si="37"/>
        <v>6886286.9000000004</v>
      </c>
      <c r="AD68" s="383">
        <f t="shared" si="38"/>
        <v>6329654.5572992004</v>
      </c>
      <c r="AE68" s="387">
        <f t="shared" si="39"/>
        <v>556632.34270079993</v>
      </c>
      <c r="AF68" s="16">
        <f t="shared" si="40"/>
        <v>8.0799999999999997E-2</v>
      </c>
      <c r="AG68" s="387">
        <f t="shared" si="41"/>
        <v>9986687.8427007999</v>
      </c>
      <c r="AH68" s="14">
        <f t="shared" si="61"/>
        <v>2759</v>
      </c>
      <c r="AI68" s="387">
        <f>'Table 4 Level 3'!O66</f>
        <v>540397</v>
      </c>
      <c r="AJ68" s="14">
        <f t="shared" si="62"/>
        <v>149.28093922651934</v>
      </c>
      <c r="AK68" s="387">
        <f t="shared" si="42"/>
        <v>10527084.8427008</v>
      </c>
      <c r="AL68" s="14">
        <f t="shared" si="63"/>
        <v>2908.0344869339228</v>
      </c>
      <c r="AM68" s="505">
        <f>'Table 4 Level 3'!R66</f>
        <v>3558427.1999999997</v>
      </c>
      <c r="AN68" s="506">
        <f t="shared" si="64"/>
        <v>982.99093922651923</v>
      </c>
      <c r="AO68" s="387">
        <f t="shared" si="43"/>
        <v>13545115.042700799</v>
      </c>
      <c r="AP68" s="14">
        <f t="shared" si="65"/>
        <v>3741.7444869339224</v>
      </c>
      <c r="AQ68" s="16">
        <f t="shared" si="44"/>
        <v>0.43337251892645851</v>
      </c>
      <c r="AR68" s="388">
        <f t="shared" si="45"/>
        <v>61</v>
      </c>
      <c r="AS68" s="14">
        <f t="shared" si="46"/>
        <v>17710016.399999999</v>
      </c>
      <c r="AT68" s="14">
        <f t="shared" si="66"/>
        <v>4892.2700000000004</v>
      </c>
      <c r="AU68" s="388">
        <f t="shared" si="47"/>
        <v>10</v>
      </c>
      <c r="AV68" s="16">
        <f t="shared" si="48"/>
        <v>0.56662748107354155</v>
      </c>
      <c r="AW68" s="388">
        <f t="shared" si="49"/>
        <v>31255131.442700796</v>
      </c>
      <c r="AX68" s="389">
        <f t="shared" si="67"/>
        <v>8634.0142106908279</v>
      </c>
      <c r="AY68" s="388">
        <f t="shared" si="50"/>
        <v>43</v>
      </c>
      <c r="AZ68" s="1212">
        <v>13821399.6803184</v>
      </c>
      <c r="BA68" s="280">
        <f t="shared" si="51"/>
        <v>-276284.63761760108</v>
      </c>
      <c r="BB68" s="1873"/>
      <c r="BC68" s="347"/>
      <c r="BD68" s="347"/>
      <c r="BE68" s="347"/>
      <c r="BF68" s="347"/>
      <c r="BG68" s="347"/>
      <c r="BH68" s="347"/>
      <c r="BI68" s="347"/>
      <c r="BJ68" s="347"/>
      <c r="BK68" s="347"/>
      <c r="BL68" s="168"/>
      <c r="BM68" s="168"/>
      <c r="BN68" s="1899"/>
      <c r="BO68" s="168"/>
      <c r="BP68" s="168"/>
      <c r="BQ68" s="1881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</row>
    <row r="69" spans="1:149" s="5" customFormat="1">
      <c r="A69" s="101">
        <v>62</v>
      </c>
      <c r="B69" s="81" t="s">
        <v>153</v>
      </c>
      <c r="C69" s="81">
        <f>'2-1-13 SIS'!S68</f>
        <v>2105</v>
      </c>
      <c r="D69" s="81">
        <f>'[3]2-1-13-Supreme Court Ruling'!AE67</f>
        <v>1600</v>
      </c>
      <c r="E69" s="81">
        <f t="shared" si="53"/>
        <v>352</v>
      </c>
      <c r="F69" s="81">
        <f>'[4]CTE-Oct 2012-Supreme Court'!AC68</f>
        <v>657.5</v>
      </c>
      <c r="G69" s="81">
        <f t="shared" si="54"/>
        <v>39</v>
      </c>
      <c r="H69" s="1287">
        <f>'[5]SWD 2-1-13 Supreme Court'!Z67</f>
        <v>232</v>
      </c>
      <c r="I69" s="1287">
        <f t="shared" si="27"/>
        <v>348</v>
      </c>
      <c r="J69" s="1287">
        <f>'[6]GT_PS-12th Supreme Court'!T66</f>
        <v>18</v>
      </c>
      <c r="K69" s="1287">
        <f t="shared" si="28"/>
        <v>10.799999999999999</v>
      </c>
      <c r="L69" s="13">
        <f t="shared" si="55"/>
        <v>5395</v>
      </c>
      <c r="M69" s="65">
        <f t="shared" si="56"/>
        <v>0.14387</v>
      </c>
      <c r="N69" s="13">
        <f t="shared" si="57"/>
        <v>303</v>
      </c>
      <c r="O69" s="13">
        <f t="shared" si="29"/>
        <v>1052.8</v>
      </c>
      <c r="P69" s="13">
        <f t="shared" si="58"/>
        <v>3157.8</v>
      </c>
      <c r="Q69" s="383">
        <f t="shared" si="30"/>
        <v>3855</v>
      </c>
      <c r="R69" s="383">
        <f t="shared" si="59"/>
        <v>12173319</v>
      </c>
      <c r="S69" s="383">
        <f>'Table 6 (Local Deduct Calc.)'!J70</f>
        <v>1961957</v>
      </c>
      <c r="T69" s="383">
        <f t="shared" si="31"/>
        <v>1961957</v>
      </c>
      <c r="U69" s="384">
        <f t="shared" si="32"/>
        <v>10211362</v>
      </c>
      <c r="V69" s="385">
        <f t="shared" si="52"/>
        <v>0.83879999999999999</v>
      </c>
      <c r="W69" s="385">
        <f t="shared" si="33"/>
        <v>0.16120000000000001</v>
      </c>
      <c r="X69" s="386">
        <f t="shared" si="60"/>
        <v>932.04608076009504</v>
      </c>
      <c r="Y69" s="383">
        <f>'Table 7 Local Revenue'!AQ69</f>
        <v>3860612</v>
      </c>
      <c r="Z69" s="383">
        <f t="shared" si="34"/>
        <v>1898655</v>
      </c>
      <c r="AA69" s="280">
        <f t="shared" si="35"/>
        <v>0</v>
      </c>
      <c r="AB69" s="14">
        <f t="shared" si="36"/>
        <v>4138928.4600000004</v>
      </c>
      <c r="AC69" s="14">
        <f t="shared" si="37"/>
        <v>1898655</v>
      </c>
      <c r="AD69" s="383">
        <f t="shared" si="38"/>
        <v>526428.67992000002</v>
      </c>
      <c r="AE69" s="387">
        <f t="shared" si="39"/>
        <v>1372226.32008</v>
      </c>
      <c r="AF69" s="16">
        <f t="shared" si="40"/>
        <v>0.72270000000000001</v>
      </c>
      <c r="AG69" s="387">
        <f t="shared" si="41"/>
        <v>11583588.320080001</v>
      </c>
      <c r="AH69" s="14">
        <f t="shared" si="61"/>
        <v>5503</v>
      </c>
      <c r="AI69" s="387">
        <f>'Table 4 Level 3'!O67</f>
        <v>314236</v>
      </c>
      <c r="AJ69" s="14">
        <f t="shared" si="62"/>
        <v>149.28076009501189</v>
      </c>
      <c r="AK69" s="387">
        <f t="shared" si="42"/>
        <v>11897824.320080001</v>
      </c>
      <c r="AL69" s="14">
        <f t="shared" si="63"/>
        <v>5652.1730736722093</v>
      </c>
      <c r="AM69" s="505">
        <f>'Table 4 Level 3'!R67</f>
        <v>1400584.4000000001</v>
      </c>
      <c r="AN69" s="506">
        <f t="shared" si="64"/>
        <v>665.36076009501198</v>
      </c>
      <c r="AO69" s="387">
        <f t="shared" si="43"/>
        <v>12984172.720080001</v>
      </c>
      <c r="AP69" s="14">
        <f t="shared" si="65"/>
        <v>6168.2530736722092</v>
      </c>
      <c r="AQ69" s="16">
        <f t="shared" si="44"/>
        <v>0.77081262455091404</v>
      </c>
      <c r="AR69" s="388">
        <f t="shared" si="45"/>
        <v>4</v>
      </c>
      <c r="AS69" s="14">
        <f t="shared" si="46"/>
        <v>3860612</v>
      </c>
      <c r="AT69" s="14">
        <f t="shared" si="66"/>
        <v>1834.02</v>
      </c>
      <c r="AU69" s="388">
        <f t="shared" si="47"/>
        <v>66</v>
      </c>
      <c r="AV69" s="16">
        <f t="shared" si="48"/>
        <v>0.22918737544908585</v>
      </c>
      <c r="AW69" s="388">
        <f t="shared" si="49"/>
        <v>16844784.720080003</v>
      </c>
      <c r="AX69" s="389">
        <f t="shared" si="67"/>
        <v>8002.2730261662718</v>
      </c>
      <c r="AY69" s="388">
        <f t="shared" si="50"/>
        <v>65</v>
      </c>
      <c r="AZ69" s="1212">
        <v>12970371.887228386</v>
      </c>
      <c r="BA69" s="280">
        <f t="shared" si="51"/>
        <v>13800.832851614803</v>
      </c>
      <c r="BB69" s="1872"/>
      <c r="BC69" s="347"/>
      <c r="BD69" s="347"/>
      <c r="BE69" s="347"/>
      <c r="BF69" s="347"/>
      <c r="BG69" s="347"/>
      <c r="BH69" s="347"/>
      <c r="BI69" s="347"/>
      <c r="BJ69" s="347"/>
      <c r="BK69" s="347"/>
      <c r="BL69" s="168"/>
      <c r="BM69" s="168"/>
      <c r="BN69" s="1899"/>
      <c r="BO69" s="168"/>
      <c r="BP69" s="168"/>
      <c r="BQ69" s="1881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</row>
    <row r="70" spans="1:149" s="5" customFormat="1">
      <c r="A70" s="101">
        <v>63</v>
      </c>
      <c r="B70" s="81" t="s">
        <v>154</v>
      </c>
      <c r="C70" s="81">
        <f>'2-1-13 SIS'!S69</f>
        <v>2038</v>
      </c>
      <c r="D70" s="81">
        <f>'[3]2-1-13-Supreme Court Ruling'!AE68</f>
        <v>1070</v>
      </c>
      <c r="E70" s="81">
        <f t="shared" si="53"/>
        <v>235</v>
      </c>
      <c r="F70" s="81">
        <f>'[4]CTE-Oct 2012-Supreme Court'!AC69</f>
        <v>613</v>
      </c>
      <c r="G70" s="81">
        <f t="shared" si="54"/>
        <v>37</v>
      </c>
      <c r="H70" s="1287">
        <f>'[5]SWD 2-1-13 Supreme Court'!Z68</f>
        <v>259</v>
      </c>
      <c r="I70" s="1287">
        <f t="shared" si="27"/>
        <v>388.5</v>
      </c>
      <c r="J70" s="1287">
        <f>'[6]GT_PS-12th Supreme Court'!T67</f>
        <v>139</v>
      </c>
      <c r="K70" s="1287">
        <f t="shared" si="28"/>
        <v>83.399999999999991</v>
      </c>
      <c r="L70" s="13">
        <f t="shared" si="55"/>
        <v>5462</v>
      </c>
      <c r="M70" s="65">
        <f t="shared" si="56"/>
        <v>0.14565</v>
      </c>
      <c r="N70" s="13">
        <f t="shared" si="57"/>
        <v>297</v>
      </c>
      <c r="O70" s="13">
        <f t="shared" si="29"/>
        <v>1040.9000000000001</v>
      </c>
      <c r="P70" s="13">
        <f t="shared" si="58"/>
        <v>3078.9</v>
      </c>
      <c r="Q70" s="383">
        <f t="shared" si="30"/>
        <v>3855</v>
      </c>
      <c r="R70" s="383">
        <f t="shared" si="59"/>
        <v>11869160</v>
      </c>
      <c r="S70" s="383">
        <f>'Table 6 (Local Deduct Calc.)'!J71</f>
        <v>5973274.5</v>
      </c>
      <c r="T70" s="383">
        <f t="shared" si="31"/>
        <v>5973274.5</v>
      </c>
      <c r="U70" s="384">
        <f t="shared" si="32"/>
        <v>5895885.5</v>
      </c>
      <c r="V70" s="385">
        <f t="shared" si="52"/>
        <v>0.49669999999999997</v>
      </c>
      <c r="W70" s="385">
        <f t="shared" si="33"/>
        <v>0.50329999999999997</v>
      </c>
      <c r="X70" s="386">
        <f t="shared" si="60"/>
        <v>2930.9492149165849</v>
      </c>
      <c r="Y70" s="383">
        <f>'Table 7 Local Revenue'!AQ70</f>
        <v>14444067.5</v>
      </c>
      <c r="Z70" s="383">
        <f t="shared" si="34"/>
        <v>8470793</v>
      </c>
      <c r="AA70" s="280">
        <f t="shared" si="35"/>
        <v>0</v>
      </c>
      <c r="AB70" s="14">
        <f t="shared" si="36"/>
        <v>4035514.4000000004</v>
      </c>
      <c r="AC70" s="14">
        <f t="shared" si="37"/>
        <v>4035514.4000000004</v>
      </c>
      <c r="AD70" s="383">
        <f t="shared" si="38"/>
        <v>3493447.9637344</v>
      </c>
      <c r="AE70" s="387">
        <f t="shared" si="39"/>
        <v>542066.43626560038</v>
      </c>
      <c r="AF70" s="16">
        <f t="shared" si="40"/>
        <v>0.1343</v>
      </c>
      <c r="AG70" s="387">
        <f t="shared" si="41"/>
        <v>6437951.9362656008</v>
      </c>
      <c r="AH70" s="14">
        <f t="shared" si="61"/>
        <v>3159</v>
      </c>
      <c r="AI70" s="387">
        <f>'Table 4 Level 3'!O68</f>
        <v>2452417</v>
      </c>
      <c r="AJ70" s="14">
        <f t="shared" si="62"/>
        <v>1203.3449460255151</v>
      </c>
      <c r="AK70" s="387">
        <f t="shared" si="42"/>
        <v>8890368.9362656008</v>
      </c>
      <c r="AL70" s="14">
        <f t="shared" si="63"/>
        <v>4362.300753810403</v>
      </c>
      <c r="AM70" s="505">
        <f>'Table 4 Level 3'!R68</f>
        <v>3994755.02</v>
      </c>
      <c r="AN70" s="506">
        <f t="shared" si="64"/>
        <v>1960.1349460255153</v>
      </c>
      <c r="AO70" s="387">
        <f t="shared" si="43"/>
        <v>10432706.9562656</v>
      </c>
      <c r="AP70" s="14">
        <f t="shared" si="65"/>
        <v>5119.0907538104029</v>
      </c>
      <c r="AQ70" s="16">
        <f t="shared" si="44"/>
        <v>0.51036905662986654</v>
      </c>
      <c r="AR70" s="388">
        <f t="shared" si="45"/>
        <v>54</v>
      </c>
      <c r="AS70" s="14">
        <f t="shared" si="46"/>
        <v>10008788.9</v>
      </c>
      <c r="AT70" s="14">
        <f t="shared" si="66"/>
        <v>4911.08</v>
      </c>
      <c r="AU70" s="388">
        <f t="shared" si="47"/>
        <v>9</v>
      </c>
      <c r="AV70" s="16">
        <f t="shared" si="48"/>
        <v>0.48963094337013346</v>
      </c>
      <c r="AW70" s="388">
        <f t="shared" si="49"/>
        <v>20441495.856265601</v>
      </c>
      <c r="AX70" s="389">
        <f t="shared" si="67"/>
        <v>10030.17461053268</v>
      </c>
      <c r="AY70" s="388">
        <f t="shared" si="50"/>
        <v>5</v>
      </c>
      <c r="AZ70" s="1212">
        <v>10527635.824539199</v>
      </c>
      <c r="BA70" s="280">
        <f t="shared" si="51"/>
        <v>-94928.868273599073</v>
      </c>
      <c r="BB70" s="1873"/>
      <c r="BC70" s="347"/>
      <c r="BD70" s="347"/>
      <c r="BE70" s="347"/>
      <c r="BF70" s="347"/>
      <c r="BG70" s="347"/>
      <c r="BH70" s="347"/>
      <c r="BI70" s="347"/>
      <c r="BJ70" s="347"/>
      <c r="BK70" s="347"/>
      <c r="BL70" s="168"/>
      <c r="BM70" s="168"/>
      <c r="BN70" s="1899"/>
      <c r="BO70" s="168"/>
      <c r="BP70" s="168"/>
      <c r="BQ70" s="1881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</row>
    <row r="71" spans="1:149" s="5" customFormat="1">
      <c r="A71" s="101">
        <v>64</v>
      </c>
      <c r="B71" s="81" t="s">
        <v>155</v>
      </c>
      <c r="C71" s="81">
        <f>'2-1-13 SIS'!S70</f>
        <v>2396</v>
      </c>
      <c r="D71" s="81">
        <f>'[3]2-1-13-Supreme Court Ruling'!AE69</f>
        <v>1727</v>
      </c>
      <c r="E71" s="81">
        <f t="shared" si="53"/>
        <v>380</v>
      </c>
      <c r="F71" s="81">
        <f>'[4]CTE-Oct 2012-Supreme Court'!AC70</f>
        <v>1264</v>
      </c>
      <c r="G71" s="81">
        <f t="shared" si="54"/>
        <v>76</v>
      </c>
      <c r="H71" s="1287">
        <f>'[5]SWD 2-1-13 Supreme Court'!Z69</f>
        <v>320</v>
      </c>
      <c r="I71" s="1287">
        <f t="shared" si="27"/>
        <v>480</v>
      </c>
      <c r="J71" s="1287">
        <f>'[6]GT_PS-12th Supreme Court'!T68</f>
        <v>82</v>
      </c>
      <c r="K71" s="1287">
        <f t="shared" si="28"/>
        <v>49.199999999999996</v>
      </c>
      <c r="L71" s="13">
        <f t="shared" si="55"/>
        <v>5104</v>
      </c>
      <c r="M71" s="65">
        <f t="shared" si="56"/>
        <v>0.13611000000000001</v>
      </c>
      <c r="N71" s="13">
        <f t="shared" si="57"/>
        <v>326</v>
      </c>
      <c r="O71" s="13">
        <f t="shared" si="29"/>
        <v>1311.2</v>
      </c>
      <c r="P71" s="13">
        <f t="shared" si="58"/>
        <v>3707.2</v>
      </c>
      <c r="Q71" s="383">
        <f t="shared" si="30"/>
        <v>3855</v>
      </c>
      <c r="R71" s="383">
        <f t="shared" si="59"/>
        <v>14291256</v>
      </c>
      <c r="S71" s="383">
        <f>'Table 6 (Local Deduct Calc.)'!J72</f>
        <v>2931602</v>
      </c>
      <c r="T71" s="383">
        <f t="shared" si="31"/>
        <v>2931602</v>
      </c>
      <c r="U71" s="384">
        <f t="shared" si="32"/>
        <v>11359654</v>
      </c>
      <c r="V71" s="385">
        <f t="shared" si="52"/>
        <v>0.79490000000000005</v>
      </c>
      <c r="W71" s="385">
        <f t="shared" si="33"/>
        <v>0.2051</v>
      </c>
      <c r="X71" s="386">
        <f t="shared" si="60"/>
        <v>1223.5400667779634</v>
      </c>
      <c r="Y71" s="383">
        <f>'Table 7 Local Revenue'!AQ71</f>
        <v>6892061</v>
      </c>
      <c r="Z71" s="383">
        <f t="shared" si="34"/>
        <v>3960459</v>
      </c>
      <c r="AA71" s="280">
        <f t="shared" si="35"/>
        <v>0</v>
      </c>
      <c r="AB71" s="14">
        <f t="shared" si="36"/>
        <v>4859027.04</v>
      </c>
      <c r="AC71" s="14">
        <f t="shared" si="37"/>
        <v>3960459</v>
      </c>
      <c r="AD71" s="383">
        <f t="shared" si="38"/>
        <v>1397139.0423480002</v>
      </c>
      <c r="AE71" s="387">
        <f t="shared" si="39"/>
        <v>2563319.9576519998</v>
      </c>
      <c r="AF71" s="16">
        <f t="shared" si="40"/>
        <v>0.6472</v>
      </c>
      <c r="AG71" s="387">
        <f t="shared" si="41"/>
        <v>13922973.957651999</v>
      </c>
      <c r="AH71" s="14">
        <f t="shared" si="61"/>
        <v>5811</v>
      </c>
      <c r="AI71" s="387">
        <f>'Table 4 Level 3'!O69</f>
        <v>357677</v>
      </c>
      <c r="AJ71" s="14">
        <f t="shared" si="62"/>
        <v>149.28088480801335</v>
      </c>
      <c r="AK71" s="387">
        <f t="shared" si="42"/>
        <v>14280650.957651999</v>
      </c>
      <c r="AL71" s="14">
        <f t="shared" si="63"/>
        <v>5960.2049072003338</v>
      </c>
      <c r="AM71" s="505">
        <f>'Table 4 Level 3'!R69</f>
        <v>1777690.3599999999</v>
      </c>
      <c r="AN71" s="506">
        <f t="shared" si="64"/>
        <v>741.94088480801327</v>
      </c>
      <c r="AO71" s="387">
        <f t="shared" si="43"/>
        <v>15700664.317651998</v>
      </c>
      <c r="AP71" s="14">
        <f t="shared" si="65"/>
        <v>6552.8649072003327</v>
      </c>
      <c r="AQ71" s="16">
        <f t="shared" si="44"/>
        <v>0.69494335441616062</v>
      </c>
      <c r="AR71" s="388">
        <f t="shared" si="45"/>
        <v>18</v>
      </c>
      <c r="AS71" s="14">
        <f t="shared" si="46"/>
        <v>6892061</v>
      </c>
      <c r="AT71" s="14">
        <f t="shared" si="66"/>
        <v>2876.49</v>
      </c>
      <c r="AU71" s="388">
        <f t="shared" si="47"/>
        <v>47</v>
      </c>
      <c r="AV71" s="16">
        <f t="shared" si="48"/>
        <v>0.30505664558383938</v>
      </c>
      <c r="AW71" s="388">
        <f t="shared" si="49"/>
        <v>22592725.317651998</v>
      </c>
      <c r="AX71" s="389">
        <f t="shared" si="67"/>
        <v>9429.3511342454076</v>
      </c>
      <c r="AY71" s="388">
        <f t="shared" si="50"/>
        <v>13</v>
      </c>
      <c r="AZ71" s="1212">
        <v>15654924.385647999</v>
      </c>
      <c r="BA71" s="280">
        <f t="shared" si="51"/>
        <v>45739.932003999129</v>
      </c>
      <c r="BB71" s="1873"/>
      <c r="BC71" s="347"/>
      <c r="BD71" s="347"/>
      <c r="BE71" s="347"/>
      <c r="BF71" s="347"/>
      <c r="BG71" s="347"/>
      <c r="BH71" s="347"/>
      <c r="BI71" s="347"/>
      <c r="BJ71" s="347"/>
      <c r="BK71" s="347"/>
      <c r="BL71" s="168"/>
      <c r="BM71" s="168"/>
      <c r="BN71" s="1899"/>
      <c r="BO71" s="168"/>
      <c r="BP71" s="168"/>
      <c r="BQ71" s="188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</row>
    <row r="72" spans="1:149" s="5" customFormat="1">
      <c r="A72" s="102">
        <v>65</v>
      </c>
      <c r="B72" s="82" t="s">
        <v>156</v>
      </c>
      <c r="C72" s="82">
        <f>'2-1-13 SIS'!S71</f>
        <v>8246</v>
      </c>
      <c r="D72" s="82">
        <f>'[3]2-1-13-Supreme Court Ruling'!AE70</f>
        <v>6660</v>
      </c>
      <c r="E72" s="82">
        <f t="shared" ref="E72:E76" si="68">ROUND($D$4*D72,0)</f>
        <v>1465</v>
      </c>
      <c r="F72" s="82">
        <f>'[4]CTE-Oct 2012-Supreme Court'!AC71</f>
        <v>2275.5</v>
      </c>
      <c r="G72" s="82">
        <f t="shared" ref="G72:G76" si="69">ROUND($F$4*F72,0)</f>
        <v>137</v>
      </c>
      <c r="H72" s="82">
        <f>'[5]SWD 2-1-13 Supreme Court'!Z70</f>
        <v>1288</v>
      </c>
      <c r="I72" s="82">
        <f t="shared" si="27"/>
        <v>1932</v>
      </c>
      <c r="J72" s="82">
        <f>'[6]GT_PS-12th Supreme Court'!T69</f>
        <v>592</v>
      </c>
      <c r="K72" s="82">
        <f t="shared" si="28"/>
        <v>355.2</v>
      </c>
      <c r="L72" s="19">
        <f t="shared" si="55"/>
        <v>0</v>
      </c>
      <c r="M72" s="66">
        <f>ROUND(L72/$M$4,5)</f>
        <v>0</v>
      </c>
      <c r="N72" s="19">
        <f t="shared" ref="N72:N76" si="70" xml:space="preserve"> ROUND(C72*M72,0)</f>
        <v>0</v>
      </c>
      <c r="O72" s="19">
        <f t="shared" si="29"/>
        <v>3889.2</v>
      </c>
      <c r="P72" s="19">
        <f t="shared" ref="P72:P76" si="71">O72+C72</f>
        <v>12135.2</v>
      </c>
      <c r="Q72" s="390">
        <f t="shared" si="30"/>
        <v>3855</v>
      </c>
      <c r="R72" s="390">
        <f>ROUND(P72*Q72,0)</f>
        <v>46781196</v>
      </c>
      <c r="S72" s="390">
        <f>'Table 6 (Local Deduct Calc.)'!J73</f>
        <v>16505276</v>
      </c>
      <c r="T72" s="390">
        <f t="shared" si="31"/>
        <v>16505276</v>
      </c>
      <c r="U72" s="391">
        <f t="shared" si="32"/>
        <v>30275920</v>
      </c>
      <c r="V72" s="392">
        <f t="shared" si="52"/>
        <v>0.6472</v>
      </c>
      <c r="W72" s="393">
        <f t="shared" si="33"/>
        <v>0.3528</v>
      </c>
      <c r="X72" s="394">
        <f t="shared" ref="X72:X77" si="72">T72/C72</f>
        <v>2001.6099927237449</v>
      </c>
      <c r="Y72" s="390">
        <f>'Table 7 Local Revenue'!AQ72</f>
        <v>41349874</v>
      </c>
      <c r="Z72" s="390">
        <f t="shared" si="34"/>
        <v>24844598</v>
      </c>
      <c r="AA72" s="281">
        <f t="shared" si="35"/>
        <v>0</v>
      </c>
      <c r="AB72" s="20">
        <f t="shared" si="36"/>
        <v>15905606.640000001</v>
      </c>
      <c r="AC72" s="20">
        <f t="shared" si="37"/>
        <v>15905606.640000001</v>
      </c>
      <c r="AD72" s="390">
        <f t="shared" si="38"/>
        <v>9651776.598858241</v>
      </c>
      <c r="AE72" s="395">
        <f t="shared" si="39"/>
        <v>6253830.0411417596</v>
      </c>
      <c r="AF72" s="274">
        <f t="shared" si="40"/>
        <v>0.39319999999999999</v>
      </c>
      <c r="AG72" s="395">
        <f t="shared" si="41"/>
        <v>36529750.041141763</v>
      </c>
      <c r="AH72" s="20">
        <f t="shared" ref="AH72:AH77" si="73">ROUND(AG72/C72,0)</f>
        <v>4430</v>
      </c>
      <c r="AI72" s="395">
        <f>'Table 4 Level 3'!O70</f>
        <v>1230970</v>
      </c>
      <c r="AJ72" s="20">
        <f t="shared" ref="AJ72:AJ77" si="74">AI72/C72</f>
        <v>149.28086344894496</v>
      </c>
      <c r="AK72" s="395">
        <f t="shared" si="42"/>
        <v>37760720.041141763</v>
      </c>
      <c r="AL72" s="20">
        <f t="shared" ref="AL72:AL77" si="75">AK72/C72</f>
        <v>4579.2772303106676</v>
      </c>
      <c r="AM72" s="507">
        <f>'Table 4 Level 3'!R70</f>
        <v>8067893.5200000005</v>
      </c>
      <c r="AN72" s="508">
        <f t="shared" ref="AN72:AN77" si="76">AM72/C72</f>
        <v>978.40086344894496</v>
      </c>
      <c r="AO72" s="395">
        <f t="shared" si="43"/>
        <v>44597643.561141767</v>
      </c>
      <c r="AP72" s="20">
        <f t="shared" ref="AP72:AP77" si="77">AO72/C72</f>
        <v>5408.3972303106675</v>
      </c>
      <c r="AQ72" s="274">
        <f t="shared" si="44"/>
        <v>0.5791260495578805</v>
      </c>
      <c r="AR72" s="396">
        <f t="shared" si="45"/>
        <v>47</v>
      </c>
      <c r="AS72" s="20">
        <f t="shared" si="46"/>
        <v>32410882.640000001</v>
      </c>
      <c r="AT72" s="20">
        <f t="shared" ref="AT72:AT77" si="78">ROUND(AS72/C72,2)</f>
        <v>3930.5</v>
      </c>
      <c r="AU72" s="396">
        <f t="shared" si="47"/>
        <v>20</v>
      </c>
      <c r="AV72" s="274">
        <f t="shared" si="48"/>
        <v>0.42087395044211945</v>
      </c>
      <c r="AW72" s="396">
        <f t="shared" si="49"/>
        <v>77008526.201141775</v>
      </c>
      <c r="AX72" s="397">
        <f t="shared" ref="AX72:AX77" si="79">AW72/C72</f>
        <v>9338.8947612347529</v>
      </c>
      <c r="AY72" s="396">
        <f t="shared" si="50"/>
        <v>15</v>
      </c>
      <c r="AZ72" s="1213">
        <v>46618009.191515908</v>
      </c>
      <c r="BA72" s="281">
        <f t="shared" si="51"/>
        <v>-2020365.630374141</v>
      </c>
      <c r="BB72" s="1876"/>
      <c r="BC72" s="347"/>
      <c r="BD72" s="347"/>
      <c r="BE72" s="347"/>
      <c r="BF72" s="347"/>
      <c r="BG72" s="347"/>
      <c r="BH72" s="347"/>
      <c r="BI72" s="347"/>
      <c r="BJ72" s="347"/>
      <c r="BK72" s="347"/>
      <c r="BL72" s="168"/>
      <c r="BM72" s="168"/>
      <c r="BN72" s="1899"/>
      <c r="BO72" s="168"/>
      <c r="BP72" s="168"/>
      <c r="BQ72" s="188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</row>
    <row r="73" spans="1:149" s="5" customFormat="1">
      <c r="A73" s="101">
        <v>66</v>
      </c>
      <c r="B73" s="81" t="s">
        <v>157</v>
      </c>
      <c r="C73" s="81">
        <f>'2-1-13 SIS'!S72</f>
        <v>2025</v>
      </c>
      <c r="D73" s="81">
        <f>'[3]2-1-13-Supreme Court Ruling'!AE71</f>
        <v>1895</v>
      </c>
      <c r="E73" s="81">
        <f t="shared" si="68"/>
        <v>417</v>
      </c>
      <c r="F73" s="81">
        <f>'[4]CTE-Oct 2012-Supreme Court'!AC72</f>
        <v>417</v>
      </c>
      <c r="G73" s="81">
        <f t="shared" si="69"/>
        <v>25</v>
      </c>
      <c r="H73" s="1287">
        <f>'[5]SWD 2-1-13 Supreme Court'!Z71</f>
        <v>500</v>
      </c>
      <c r="I73" s="1287">
        <f t="shared" ref="I73:I76" si="80">$H$4*H73</f>
        <v>750</v>
      </c>
      <c r="J73" s="1287">
        <f>'[6]GT_PS-12th Supreme Court'!T70</f>
        <v>108</v>
      </c>
      <c r="K73" s="1287">
        <f t="shared" ref="K73:K76" si="81">$J$4*J73</f>
        <v>64.8</v>
      </c>
      <c r="L73" s="13">
        <f t="shared" si="55"/>
        <v>5475</v>
      </c>
      <c r="M73" s="65">
        <f>ROUND(L73/$M$4,5)</f>
        <v>0.14599999999999999</v>
      </c>
      <c r="N73" s="13">
        <f t="shared" si="70"/>
        <v>296</v>
      </c>
      <c r="O73" s="13">
        <f t="shared" ref="O73:O76" si="82">E73+G73+I73+K73+N73</f>
        <v>1552.8</v>
      </c>
      <c r="P73" s="13">
        <f t="shared" si="71"/>
        <v>3577.8</v>
      </c>
      <c r="Q73" s="383">
        <f>$Q$4</f>
        <v>3855</v>
      </c>
      <c r="R73" s="383">
        <f>ROUND(P73*Q73,0)</f>
        <v>13792419</v>
      </c>
      <c r="S73" s="383">
        <f>'Table 6 (Local Deduct Calc.)'!J74</f>
        <v>3460362</v>
      </c>
      <c r="T73" s="383">
        <f>IF((S73&gt;R73*$T$4),R73*$T$4,S73)</f>
        <v>3460362</v>
      </c>
      <c r="U73" s="384">
        <f>R73-T73</f>
        <v>10332057</v>
      </c>
      <c r="V73" s="385">
        <f>ROUND(U73/R73,4)</f>
        <v>0.74909999999999999</v>
      </c>
      <c r="W73" s="385">
        <f>ROUND(T73/R73,4)</f>
        <v>0.25090000000000001</v>
      </c>
      <c r="X73" s="386">
        <f t="shared" si="72"/>
        <v>1708.8207407407408</v>
      </c>
      <c r="Y73" s="383">
        <f>'Table 7 Local Revenue'!AQ73</f>
        <v>7447578</v>
      </c>
      <c r="Z73" s="383">
        <f>IF(Y73-T73&gt;0,Y73-T73,0)</f>
        <v>3987216</v>
      </c>
      <c r="AA73" s="280">
        <f>IF(Y73-T73&lt;0,Y73-T73,0)</f>
        <v>0</v>
      </c>
      <c r="AB73" s="14">
        <f>R73*$AB$4</f>
        <v>4689422.46</v>
      </c>
      <c r="AC73" s="14">
        <f>IF(Z73&lt;AB73,Z73,AB73)</f>
        <v>3987216</v>
      </c>
      <c r="AD73" s="383">
        <f>IF(AC73&gt;0,AC73*(W73*$AD$4),0)</f>
        <v>1720675.0903679999</v>
      </c>
      <c r="AE73" s="387">
        <f>IF(AC73-AD73&gt;AC73*$AE$4,AC73-AD73,AC73*$AE$4)</f>
        <v>2266540.9096320001</v>
      </c>
      <c r="AF73" s="16">
        <f>IF(AC73=0,0,ROUND(AE73/AC73,4))</f>
        <v>0.56850000000000001</v>
      </c>
      <c r="AG73" s="387">
        <f>U73+AE73</f>
        <v>12598597.909632001</v>
      </c>
      <c r="AH73" s="14">
        <f t="shared" si="73"/>
        <v>6222</v>
      </c>
      <c r="AI73" s="387">
        <f>'Table 4 Level 3'!O71</f>
        <v>302294</v>
      </c>
      <c r="AJ73" s="14">
        <f t="shared" si="74"/>
        <v>149.280987654321</v>
      </c>
      <c r="AK73" s="387">
        <f>AI73+AG73</f>
        <v>12900891.909632001</v>
      </c>
      <c r="AL73" s="14">
        <f t="shared" si="75"/>
        <v>6370.8108195713585</v>
      </c>
      <c r="AM73" s="505">
        <f>'Table 4 Level 3'!R71</f>
        <v>1780665.5</v>
      </c>
      <c r="AN73" s="506">
        <f t="shared" si="76"/>
        <v>879.340987654321</v>
      </c>
      <c r="AO73" s="387">
        <f>AG73+AM73</f>
        <v>14379263.409632001</v>
      </c>
      <c r="AP73" s="14">
        <f t="shared" si="77"/>
        <v>7100.8708195713589</v>
      </c>
      <c r="AQ73" s="16">
        <f t="shared" ref="AQ73:AQ77" si="83">AO73/AW73</f>
        <v>0.65878810130019794</v>
      </c>
      <c r="AR73" s="388">
        <f>RANK(AQ73,$AQ$8:$AQ$76)</f>
        <v>31</v>
      </c>
      <c r="AS73" s="14">
        <f>ROUND(AC73+T73,2)</f>
        <v>7447578</v>
      </c>
      <c r="AT73" s="14">
        <f t="shared" si="78"/>
        <v>3677.82</v>
      </c>
      <c r="AU73" s="388">
        <f>RANK(AT73,$AT$8:$AT$76)</f>
        <v>24</v>
      </c>
      <c r="AV73" s="16">
        <f>AS73/AW73</f>
        <v>0.34121189869980212</v>
      </c>
      <c r="AW73" s="388">
        <f t="shared" ref="AW73:AW76" si="84">AO73+AS73</f>
        <v>21826841.409632001</v>
      </c>
      <c r="AX73" s="389">
        <f t="shared" si="79"/>
        <v>10778.687115867655</v>
      </c>
      <c r="AY73" s="388">
        <f>RANK(AX73,$AX$8:$AX$76)</f>
        <v>2</v>
      </c>
      <c r="AZ73" s="1212">
        <v>14359000.542099999</v>
      </c>
      <c r="BA73" s="280">
        <f t="shared" ref="BA73:BA76" si="85">AO73-AZ73</f>
        <v>20262.867532001808</v>
      </c>
      <c r="BB73" s="1872"/>
      <c r="BC73" s="347"/>
      <c r="BD73" s="347"/>
      <c r="BE73" s="347"/>
      <c r="BF73" s="347"/>
      <c r="BG73" s="347"/>
      <c r="BH73" s="347"/>
      <c r="BI73" s="347"/>
      <c r="BJ73" s="347"/>
      <c r="BK73" s="347"/>
      <c r="BL73" s="168"/>
      <c r="BM73" s="168"/>
      <c r="BN73" s="1899"/>
      <c r="BO73" s="168"/>
      <c r="BP73" s="168"/>
      <c r="BQ73" s="1881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</row>
    <row r="74" spans="1:149" s="5" customFormat="1">
      <c r="A74" s="101">
        <v>67</v>
      </c>
      <c r="B74" s="140" t="s">
        <v>32</v>
      </c>
      <c r="C74" s="350">
        <f>'2-1-13 SIS'!S73</f>
        <v>5098</v>
      </c>
      <c r="D74" s="81">
        <f>'[3]2-1-13-Supreme Court Ruling'!AE72</f>
        <v>2264</v>
      </c>
      <c r="E74" s="81">
        <f t="shared" si="68"/>
        <v>498</v>
      </c>
      <c r="F74" s="81">
        <f>'[4]CTE-Oct 2012-Supreme Court'!AC73</f>
        <v>1467</v>
      </c>
      <c r="G74" s="81">
        <f t="shared" si="69"/>
        <v>88</v>
      </c>
      <c r="H74" s="1287">
        <f>'[5]SWD 2-1-13 Supreme Court'!Z72</f>
        <v>418</v>
      </c>
      <c r="I74" s="1287">
        <f t="shared" si="80"/>
        <v>627</v>
      </c>
      <c r="J74" s="1287">
        <f>'[6]GT_PS-12th Supreme Court'!T71</f>
        <v>427</v>
      </c>
      <c r="K74" s="1287">
        <f t="shared" si="81"/>
        <v>256.2</v>
      </c>
      <c r="L74" s="13">
        <f t="shared" si="55"/>
        <v>2402</v>
      </c>
      <c r="M74" s="65">
        <f>ROUND(L74/$M$4,5)</f>
        <v>6.4049999999999996E-2</v>
      </c>
      <c r="N74" s="13">
        <f t="shared" si="70"/>
        <v>327</v>
      </c>
      <c r="O74" s="13">
        <f t="shared" si="82"/>
        <v>1796.2</v>
      </c>
      <c r="P74" s="13">
        <f t="shared" si="71"/>
        <v>6894.2</v>
      </c>
      <c r="Q74" s="383">
        <f>$Q$4</f>
        <v>3855</v>
      </c>
      <c r="R74" s="383">
        <f>ROUND(P74*Q74,0)</f>
        <v>26577141</v>
      </c>
      <c r="S74" s="383">
        <f>'Table 6 (Local Deduct Calc.)'!J75</f>
        <v>7023308</v>
      </c>
      <c r="T74" s="383">
        <f>IF((S74&gt;R74*$T$4),R74*$T$4,S74)</f>
        <v>7023308</v>
      </c>
      <c r="U74" s="384">
        <f>R74-T74</f>
        <v>19553833</v>
      </c>
      <c r="V74" s="385">
        <f>ROUND(U74/R74,4)</f>
        <v>0.73570000000000002</v>
      </c>
      <c r="W74" s="385">
        <f>ROUND(T74/R74,4)</f>
        <v>0.26429999999999998</v>
      </c>
      <c r="X74" s="386">
        <f t="shared" si="72"/>
        <v>1377.6594743036485</v>
      </c>
      <c r="Y74" s="383">
        <f>'Table 7 Local Revenue'!AQ74</f>
        <v>26270836</v>
      </c>
      <c r="Z74" s="383">
        <f>IF(Y74-T74&gt;0,Y74-T74,0)</f>
        <v>19247528</v>
      </c>
      <c r="AA74" s="280">
        <f>IF(Y74-T74&lt;0,Y74-T74,0)</f>
        <v>0</v>
      </c>
      <c r="AB74" s="14">
        <f>R74*$AB$4</f>
        <v>9036227.9400000013</v>
      </c>
      <c r="AC74" s="14">
        <f>IF(Z74&lt;AB74,Z74,AB74)</f>
        <v>9036227.9400000013</v>
      </c>
      <c r="AD74" s="383">
        <f>IF(AC74&gt;0,AC74*(W74*$AD$4),0)</f>
        <v>4107833.0766122402</v>
      </c>
      <c r="AE74" s="398">
        <f>IF(AC74-AD74&gt;AC74*$AE$4,AC74-AD74,AC74*$AE$4)</f>
        <v>4928394.8633877616</v>
      </c>
      <c r="AF74" s="16">
        <f>IF(AC74=0,0,ROUND(AE74/AC74,4))</f>
        <v>0.5454</v>
      </c>
      <c r="AG74" s="387">
        <f>U74+AE74</f>
        <v>24482227.863387764</v>
      </c>
      <c r="AH74" s="14">
        <f t="shared" si="73"/>
        <v>4802</v>
      </c>
      <c r="AI74" s="387">
        <f>'Table 4 Level 3'!O72</f>
        <v>761034</v>
      </c>
      <c r="AJ74" s="14">
        <f t="shared" si="74"/>
        <v>149.28089446841898</v>
      </c>
      <c r="AK74" s="387">
        <f>AI74+AG74</f>
        <v>25243261.863387764</v>
      </c>
      <c r="AL74" s="14">
        <f t="shared" si="75"/>
        <v>4951.6009932106244</v>
      </c>
      <c r="AM74" s="505">
        <f>'Table 4 Level 3'!R72</f>
        <v>4409213.78</v>
      </c>
      <c r="AN74" s="506">
        <f t="shared" si="76"/>
        <v>864.89089446841899</v>
      </c>
      <c r="AO74" s="387">
        <f>AG74+AM74</f>
        <v>28891441.643387765</v>
      </c>
      <c r="AP74" s="14">
        <f t="shared" si="77"/>
        <v>5667.210993210625</v>
      </c>
      <c r="AQ74" s="16">
        <f t="shared" si="83"/>
        <v>0.64273222066843294</v>
      </c>
      <c r="AR74" s="388">
        <f>RANK(AQ74,$AQ$8:$AQ$76)</f>
        <v>36</v>
      </c>
      <c r="AS74" s="14">
        <f>ROUND(AC74+T74,2)</f>
        <v>16059535.939999999</v>
      </c>
      <c r="AT74" s="14">
        <f t="shared" si="78"/>
        <v>3150.16</v>
      </c>
      <c r="AU74" s="388">
        <f>RANK(AT74,$AT$8:$AT$76)</f>
        <v>38</v>
      </c>
      <c r="AV74" s="16">
        <f>AS74/AW74</f>
        <v>0.35726777933156711</v>
      </c>
      <c r="AW74" s="388">
        <f t="shared" si="84"/>
        <v>44950977.583387762</v>
      </c>
      <c r="AX74" s="389">
        <f t="shared" si="79"/>
        <v>8817.3749673181173</v>
      </c>
      <c r="AY74" s="388">
        <f>RANK(AX74,$AX$8:$AX$76)</f>
        <v>36</v>
      </c>
      <c r="AZ74" s="1212">
        <v>29235198.971705601</v>
      </c>
      <c r="BA74" s="280">
        <f t="shared" si="85"/>
        <v>-343757.32831783593</v>
      </c>
      <c r="BB74" s="1873"/>
      <c r="BC74" s="347"/>
      <c r="BD74" s="347"/>
      <c r="BE74" s="347"/>
      <c r="BF74" s="347"/>
      <c r="BG74" s="347"/>
      <c r="BH74" s="347"/>
      <c r="BI74" s="347"/>
      <c r="BJ74" s="347"/>
      <c r="BK74" s="347"/>
      <c r="BL74" s="1907"/>
      <c r="BM74" s="1907"/>
      <c r="BN74" s="1908"/>
      <c r="BO74" s="1907"/>
      <c r="BP74" s="1907"/>
      <c r="BQ74" s="1886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</row>
    <row r="75" spans="1:149">
      <c r="A75" s="101">
        <v>68</v>
      </c>
      <c r="B75" s="81" t="s">
        <v>30</v>
      </c>
      <c r="C75" s="81">
        <f>'2-1-13 SIS'!S74</f>
        <v>1714</v>
      </c>
      <c r="D75" s="81">
        <f>'[3]2-1-13-Supreme Court Ruling'!AE73</f>
        <v>1411</v>
      </c>
      <c r="E75" s="81">
        <f t="shared" si="68"/>
        <v>310</v>
      </c>
      <c r="F75" s="81">
        <f>'[4]CTE-Oct 2012-Supreme Court'!AC74</f>
        <v>679</v>
      </c>
      <c r="G75" s="81">
        <f t="shared" si="69"/>
        <v>41</v>
      </c>
      <c r="H75" s="1287">
        <f>'[5]SWD 2-1-13 Supreme Court'!Z73</f>
        <v>212</v>
      </c>
      <c r="I75" s="1287">
        <f t="shared" si="80"/>
        <v>318</v>
      </c>
      <c r="J75" s="1287">
        <f>'[6]GT_PS-12th Supreme Court'!T72</f>
        <v>4</v>
      </c>
      <c r="K75" s="1287">
        <f t="shared" si="81"/>
        <v>2.4</v>
      </c>
      <c r="L75" s="13">
        <f t="shared" si="55"/>
        <v>5786</v>
      </c>
      <c r="M75" s="65">
        <f>ROUND(L75/$M$4,5)</f>
        <v>0.15429000000000001</v>
      </c>
      <c r="N75" s="13">
        <f t="shared" si="70"/>
        <v>264</v>
      </c>
      <c r="O75" s="13">
        <f t="shared" si="82"/>
        <v>935.4</v>
      </c>
      <c r="P75" s="13">
        <f t="shared" si="71"/>
        <v>2649.4</v>
      </c>
      <c r="Q75" s="383">
        <f>$Q$4</f>
        <v>3855</v>
      </c>
      <c r="R75" s="383">
        <f>ROUND(P75*Q75,0)</f>
        <v>10213437</v>
      </c>
      <c r="S75" s="383">
        <f>'Table 6 (Local Deduct Calc.)'!J76</f>
        <v>1977851</v>
      </c>
      <c r="T75" s="383">
        <f>IF((S75&gt;R75*$T$4),R75*$T$4,S75)</f>
        <v>1977851</v>
      </c>
      <c r="U75" s="384">
        <f>R75-T75</f>
        <v>8235586</v>
      </c>
      <c r="V75" s="385">
        <f>ROUND(U75/R75,4)</f>
        <v>0.80630000000000002</v>
      </c>
      <c r="W75" s="385">
        <f>ROUND(T75/R75,4)</f>
        <v>0.19370000000000001</v>
      </c>
      <c r="X75" s="386">
        <f t="shared" si="72"/>
        <v>1153.938739789965</v>
      </c>
      <c r="Y75" s="383">
        <f>'Table 7 Local Revenue'!AQ75</f>
        <v>4864522</v>
      </c>
      <c r="Z75" s="383">
        <f>IF(Y75-T75&gt;0,Y75-T75,0)</f>
        <v>2886671</v>
      </c>
      <c r="AA75" s="280">
        <f>IF(Y75-T75&lt;0,Y75-T75,0)</f>
        <v>0</v>
      </c>
      <c r="AB75" s="14">
        <f>R75*$AB$4</f>
        <v>3472568.58</v>
      </c>
      <c r="AC75" s="14">
        <f>IF(Z75&lt;AB75,Z75,AB75)</f>
        <v>2886671</v>
      </c>
      <c r="AD75" s="383">
        <f>IF(AC75&gt;0,AC75*(W75*$AD$4),0)</f>
        <v>961734.85704400006</v>
      </c>
      <c r="AE75" s="387">
        <f>IF(AC75-AD75&gt;AC75*$AE$4,AC75-AD75,AC75*$AE$4)</f>
        <v>1924936.1429559998</v>
      </c>
      <c r="AF75" s="16">
        <f>IF(AC75=0,0,ROUND(AE75/AC75,4))</f>
        <v>0.66679999999999995</v>
      </c>
      <c r="AG75" s="387">
        <f>U75+AE75</f>
        <v>10160522.142956</v>
      </c>
      <c r="AH75" s="14">
        <f t="shared" si="73"/>
        <v>5928</v>
      </c>
      <c r="AI75" s="387">
        <f>'Table 4 Level 3'!O73</f>
        <v>255867</v>
      </c>
      <c r="AJ75" s="14">
        <f t="shared" si="74"/>
        <v>149.28063010501751</v>
      </c>
      <c r="AK75" s="387">
        <f>AI75+AG75</f>
        <v>10416389.142956</v>
      </c>
      <c r="AL75" s="14">
        <f t="shared" si="75"/>
        <v>6077.2398733698947</v>
      </c>
      <c r="AM75" s="505">
        <f>'Table 4 Level 3'!R73</f>
        <v>1624838.8</v>
      </c>
      <c r="AN75" s="506">
        <f t="shared" si="76"/>
        <v>947.98063010501755</v>
      </c>
      <c r="AO75" s="387">
        <f>AG75+AM75</f>
        <v>11785360.942956001</v>
      </c>
      <c r="AP75" s="14">
        <f t="shared" si="77"/>
        <v>6875.9398733698954</v>
      </c>
      <c r="AQ75" s="16">
        <f t="shared" si="83"/>
        <v>0.70783446246040949</v>
      </c>
      <c r="AR75" s="388">
        <f>RANK(AQ75,$AQ$8:$AQ$76)</f>
        <v>15</v>
      </c>
      <c r="AS75" s="14">
        <f>ROUND(AC75+T75,2)</f>
        <v>4864522</v>
      </c>
      <c r="AT75" s="14">
        <f t="shared" si="78"/>
        <v>2838.11</v>
      </c>
      <c r="AU75" s="388">
        <f>RANK(AT75,$AT$8:$AT$76)</f>
        <v>51</v>
      </c>
      <c r="AV75" s="16">
        <f>AS75/AW75</f>
        <v>0.29216553753959057</v>
      </c>
      <c r="AW75" s="388">
        <f t="shared" si="84"/>
        <v>16649882.942956001</v>
      </c>
      <c r="AX75" s="389">
        <f t="shared" si="79"/>
        <v>9714.0507251785293</v>
      </c>
      <c r="AY75" s="388">
        <f>RANK(AX75,$AX$8:$AX$76)</f>
        <v>7</v>
      </c>
      <c r="AZ75" s="1212">
        <v>11801918.192748001</v>
      </c>
      <c r="BA75" s="280">
        <f t="shared" si="85"/>
        <v>-16557.249792000279</v>
      </c>
      <c r="BB75" s="1872"/>
      <c r="BC75" s="347"/>
      <c r="BD75" s="347"/>
      <c r="BE75" s="347"/>
      <c r="BF75" s="347"/>
      <c r="BG75" s="347"/>
      <c r="BH75" s="347"/>
      <c r="BI75" s="347"/>
      <c r="BJ75" s="347"/>
      <c r="BK75" s="347"/>
      <c r="BL75" s="168"/>
      <c r="BM75" s="168"/>
      <c r="BN75" s="1899"/>
      <c r="BO75" s="168"/>
      <c r="BP75" s="168"/>
      <c r="BQ75" s="1881"/>
    </row>
    <row r="76" spans="1:149">
      <c r="A76" s="102">
        <v>69</v>
      </c>
      <c r="B76" s="82" t="s">
        <v>208</v>
      </c>
      <c r="C76" s="81">
        <f>'2-1-13 SIS'!S75</f>
        <v>4193</v>
      </c>
      <c r="D76" s="82">
        <f>'[3]2-1-13-Supreme Court Ruling'!AE74</f>
        <v>2184</v>
      </c>
      <c r="E76" s="82">
        <f t="shared" si="68"/>
        <v>480</v>
      </c>
      <c r="F76" s="82">
        <f>'[4]CTE-Oct 2012-Supreme Court'!AC75</f>
        <v>1412.5</v>
      </c>
      <c r="G76" s="82">
        <f t="shared" si="69"/>
        <v>85</v>
      </c>
      <c r="H76" s="82">
        <f>'[5]SWD 2-1-13 Supreme Court'!Z74</f>
        <v>278</v>
      </c>
      <c r="I76" s="82">
        <f t="shared" si="80"/>
        <v>417</v>
      </c>
      <c r="J76" s="82">
        <f>'[6]GT_PS-12th Supreme Court'!T73</f>
        <v>272</v>
      </c>
      <c r="K76" s="82">
        <f t="shared" si="81"/>
        <v>163.19999999999999</v>
      </c>
      <c r="L76" s="19">
        <f t="shared" si="55"/>
        <v>3307</v>
      </c>
      <c r="M76" s="66">
        <f>ROUND(L76/$M$4,5)</f>
        <v>8.8190000000000004E-2</v>
      </c>
      <c r="N76" s="13">
        <f t="shared" si="70"/>
        <v>370</v>
      </c>
      <c r="O76" s="19">
        <f t="shared" si="82"/>
        <v>1515.2</v>
      </c>
      <c r="P76" s="19">
        <f t="shared" si="71"/>
        <v>5708.2</v>
      </c>
      <c r="Q76" s="383">
        <f>$Q$4</f>
        <v>3855</v>
      </c>
      <c r="R76" s="383">
        <f>ROUND(P76*Q76,0)</f>
        <v>22005111</v>
      </c>
      <c r="S76" s="383">
        <f>'Table 6 (Local Deduct Calc.)'!J77</f>
        <v>4221936</v>
      </c>
      <c r="T76" s="383">
        <f>IF((S76&gt;R76*$T$4),R76*$T$4,S76)</f>
        <v>4221936</v>
      </c>
      <c r="U76" s="384">
        <f>R76-T76</f>
        <v>17783175</v>
      </c>
      <c r="V76" s="385">
        <f>ROUND(U76/R76,4)</f>
        <v>0.80810000000000004</v>
      </c>
      <c r="W76" s="385">
        <f>ROUND(T76/R76,4)</f>
        <v>0.19189999999999999</v>
      </c>
      <c r="X76" s="386">
        <f t="shared" si="72"/>
        <v>1006.9010255187217</v>
      </c>
      <c r="Y76" s="383">
        <f>'Table 7 Local Revenue'!AQ76</f>
        <v>14147038</v>
      </c>
      <c r="Z76" s="383">
        <f>IF(Y76-T76&gt;0,Y76-T76,0)</f>
        <v>9925102</v>
      </c>
      <c r="AA76" s="280">
        <f>IF(Y76-T76&lt;0,Y76-T76,0)</f>
        <v>0</v>
      </c>
      <c r="AB76" s="14">
        <f>R76*$AB$4</f>
        <v>7481737.7400000002</v>
      </c>
      <c r="AC76" s="14">
        <f>IF(Z76&lt;AB76,Z76,AB76)</f>
        <v>7481737.7400000002</v>
      </c>
      <c r="AD76" s="383">
        <f>IF(AC76&gt;0,AC76*(W76*$AD$4),0)</f>
        <v>2469482.2123663197</v>
      </c>
      <c r="AE76" s="387">
        <f>IF(AC76-AD76&gt;AC76*$AE$4,AC76-AD76,AC76*$AE$4)</f>
        <v>5012255.52763368</v>
      </c>
      <c r="AF76" s="16">
        <f>IF(AC76=0,0,ROUND(AE76/AC76,4))</f>
        <v>0.66990000000000005</v>
      </c>
      <c r="AG76" s="387">
        <f>U76+AE76</f>
        <v>22795430.527633682</v>
      </c>
      <c r="AH76" s="14">
        <f t="shared" si="73"/>
        <v>5437</v>
      </c>
      <c r="AI76" s="387">
        <f>'Table 4 Level 3'!O74</f>
        <v>625935</v>
      </c>
      <c r="AJ76" s="14">
        <f t="shared" si="74"/>
        <v>149.28094443119485</v>
      </c>
      <c r="AK76" s="395">
        <f>AI76+AG76</f>
        <v>23421365.527633682</v>
      </c>
      <c r="AL76" s="20">
        <f t="shared" si="75"/>
        <v>5585.8253106686579</v>
      </c>
      <c r="AM76" s="505">
        <f>'Table 4 Level 3'!R74</f>
        <v>3584809.31</v>
      </c>
      <c r="AN76" s="506">
        <f t="shared" si="76"/>
        <v>854.9509444311949</v>
      </c>
      <c r="AO76" s="395">
        <f>AG76+AM76</f>
        <v>26380239.837633681</v>
      </c>
      <c r="AP76" s="20">
        <f t="shared" si="77"/>
        <v>6291.4953106686571</v>
      </c>
      <c r="AQ76" s="16">
        <f t="shared" si="83"/>
        <v>0.69268720988608024</v>
      </c>
      <c r="AR76" s="388">
        <f>RANK(AQ76,$AQ$8:$AQ$76)</f>
        <v>20</v>
      </c>
      <c r="AS76" s="14">
        <f>ROUND(AC76+T76,2)</f>
        <v>11703673.74</v>
      </c>
      <c r="AT76" s="14">
        <f t="shared" si="78"/>
        <v>2791.24</v>
      </c>
      <c r="AU76" s="388">
        <f>RANK(AT76,$AT$8:$AT$76)</f>
        <v>53</v>
      </c>
      <c r="AV76" s="16">
        <f>AS76/AW76</f>
        <v>0.30731279011391982</v>
      </c>
      <c r="AW76" s="388">
        <f t="shared" si="84"/>
        <v>38083913.577633679</v>
      </c>
      <c r="AX76" s="389">
        <f t="shared" si="79"/>
        <v>9082.7363648065057</v>
      </c>
      <c r="AY76" s="388">
        <f>RANK(AX76,$AX$8:$AX$76)</f>
        <v>23</v>
      </c>
      <c r="AZ76" s="1213">
        <v>24501064.122550398</v>
      </c>
      <c r="BA76" s="281">
        <f t="shared" si="85"/>
        <v>1879175.7150832824</v>
      </c>
      <c r="BB76" s="1876"/>
      <c r="BC76" s="347"/>
      <c r="BD76" s="347"/>
      <c r="BE76" s="347"/>
      <c r="BF76" s="347"/>
      <c r="BG76" s="347"/>
      <c r="BH76" s="347"/>
      <c r="BI76" s="347"/>
      <c r="BJ76" s="347"/>
      <c r="BK76" s="347"/>
      <c r="BL76" s="168"/>
      <c r="BM76" s="168"/>
      <c r="BN76" s="1899"/>
      <c r="BO76" s="168"/>
      <c r="BP76" s="168"/>
      <c r="BQ76" s="1881"/>
    </row>
    <row r="77" spans="1:149" ht="13.5" thickBot="1">
      <c r="A77" s="103"/>
      <c r="B77" s="104" t="s">
        <v>89</v>
      </c>
      <c r="C77" s="105">
        <f>SUM(C8:C76)</f>
        <v>673908</v>
      </c>
      <c r="D77" s="105">
        <f t="shared" ref="D77:L77" si="86">SUM(D8:D76)</f>
        <v>457718</v>
      </c>
      <c r="E77" s="105">
        <f t="shared" si="86"/>
        <v>100693</v>
      </c>
      <c r="F77" s="105">
        <f t="shared" si="86"/>
        <v>222845.5</v>
      </c>
      <c r="G77" s="105">
        <f t="shared" si="86"/>
        <v>13368</v>
      </c>
      <c r="H77" s="105">
        <f t="shared" si="86"/>
        <v>81271</v>
      </c>
      <c r="I77" s="105">
        <f t="shared" si="86"/>
        <v>121906.5</v>
      </c>
      <c r="J77" s="105">
        <f t="shared" si="86"/>
        <v>29079</v>
      </c>
      <c r="K77" s="105">
        <f t="shared" si="86"/>
        <v>17447.400000000005</v>
      </c>
      <c r="L77" s="105">
        <f t="shared" si="86"/>
        <v>181354</v>
      </c>
      <c r="M77" s="105"/>
      <c r="N77" s="105">
        <f>SUM(N8:N76)</f>
        <v>13225</v>
      </c>
      <c r="O77" s="105">
        <f>SUM(O8:O76)</f>
        <v>266639.90000000008</v>
      </c>
      <c r="P77" s="105">
        <f>SUM(P8:P76)</f>
        <v>940547.89999999991</v>
      </c>
      <c r="Q77" s="399">
        <f>$Q$4</f>
        <v>3855</v>
      </c>
      <c r="R77" s="400">
        <f>SUM(R8:R76)</f>
        <v>3625812169</v>
      </c>
      <c r="S77" s="400">
        <f>SUM(S8:S76)</f>
        <v>1281056395.5</v>
      </c>
      <c r="T77" s="400">
        <f>SUM(T8:T76)</f>
        <v>1269075026.25</v>
      </c>
      <c r="U77" s="401">
        <f>SUM(U8:U76)</f>
        <v>2356737142.75</v>
      </c>
      <c r="V77" s="402">
        <f>ROUND(U77/R77,4)</f>
        <v>0.65</v>
      </c>
      <c r="W77" s="403">
        <f>ROUND(T77/R77,4)</f>
        <v>0.35</v>
      </c>
      <c r="X77" s="404">
        <f t="shared" si="72"/>
        <v>1883.1576806478035</v>
      </c>
      <c r="Y77" s="400">
        <f t="shared" ref="Y77:AE77" si="87">SUM(Y8:Y76)</f>
        <v>3078646125.5</v>
      </c>
      <c r="Z77" s="400">
        <f t="shared" si="87"/>
        <v>1808866505.25</v>
      </c>
      <c r="AA77" s="400">
        <f t="shared" si="87"/>
        <v>0</v>
      </c>
      <c r="AB77" s="405">
        <f t="shared" si="87"/>
        <v>1232776137.4600003</v>
      </c>
      <c r="AC77" s="405">
        <f t="shared" si="87"/>
        <v>1119541066.3200002</v>
      </c>
      <c r="AD77" s="399">
        <f t="shared" si="87"/>
        <v>699889237.65113127</v>
      </c>
      <c r="AE77" s="406">
        <f t="shared" si="87"/>
        <v>430268294.70514941</v>
      </c>
      <c r="AF77" s="207">
        <f>IF(AC77=0,0,ROUND(AE77/AC77,4))</f>
        <v>0.38429999999999997</v>
      </c>
      <c r="AG77" s="409">
        <f>SUM(AG8:AG76)</f>
        <v>2787005437.4551492</v>
      </c>
      <c r="AH77" s="408">
        <f t="shared" si="73"/>
        <v>4136</v>
      </c>
      <c r="AI77" s="409">
        <f>SUM(AI8:AI76)</f>
        <v>148423731</v>
      </c>
      <c r="AJ77" s="407">
        <f t="shared" si="74"/>
        <v>220.24331362737939</v>
      </c>
      <c r="AK77" s="409">
        <f>SUM(AK8:AK76)</f>
        <v>2935429168.4551482</v>
      </c>
      <c r="AL77" s="407">
        <f t="shared" si="75"/>
        <v>4355.8307194085073</v>
      </c>
      <c r="AM77" s="409">
        <f>SUM(AM8:AM76)</f>
        <v>623185581.67210746</v>
      </c>
      <c r="AN77" s="407">
        <f t="shared" si="76"/>
        <v>924.73391274789356</v>
      </c>
      <c r="AO77" s="409">
        <f>SUM(AO8:AO76)</f>
        <v>3410191019.1272569</v>
      </c>
      <c r="AP77" s="407">
        <f t="shared" si="77"/>
        <v>5060.3213185290233</v>
      </c>
      <c r="AQ77" s="410">
        <f t="shared" si="83"/>
        <v>0.58808492047412253</v>
      </c>
      <c r="AR77" s="408"/>
      <c r="AS77" s="408">
        <f>SUM(AS8:AS76)</f>
        <v>2388616092.5699997</v>
      </c>
      <c r="AT77" s="407">
        <f t="shared" si="78"/>
        <v>3544.42</v>
      </c>
      <c r="AU77" s="407"/>
      <c r="AV77" s="207">
        <f>AS77/AW77</f>
        <v>0.41191507952587758</v>
      </c>
      <c r="AW77" s="407">
        <f>SUM(AW8:AW76)</f>
        <v>5798807111.6972561</v>
      </c>
      <c r="AX77" s="400">
        <f t="shared" si="79"/>
        <v>8604.7459173911811</v>
      </c>
      <c r="AY77" s="407"/>
      <c r="AZ77" s="407">
        <f t="shared" ref="AZ77:BK77" si="88">SUM(AZ8:AZ76)</f>
        <v>3404925470.5395784</v>
      </c>
      <c r="BA77" s="407">
        <f t="shared" si="88"/>
        <v>5265548.5876781512</v>
      </c>
      <c r="BB77" s="1877"/>
      <c r="BC77" s="1909"/>
      <c r="BD77" s="1909"/>
      <c r="BE77" s="1910"/>
      <c r="BF77" s="1909"/>
      <c r="BG77" s="1909"/>
      <c r="BH77" s="1910"/>
      <c r="BI77" s="1910"/>
      <c r="BJ77" s="1910"/>
      <c r="BK77" s="1910"/>
      <c r="BL77" s="1911"/>
      <c r="BM77" s="1911"/>
      <c r="BN77" s="1912"/>
      <c r="BO77" s="1911"/>
      <c r="BP77" s="1911"/>
      <c r="BQ77" s="949"/>
    </row>
    <row r="78" spans="1:149" ht="12.75" customHeight="1" thickTop="1">
      <c r="A78" s="106"/>
      <c r="B78" s="197"/>
      <c r="C78" s="169"/>
      <c r="D78" s="107"/>
      <c r="E78" s="108"/>
      <c r="F78" s="169"/>
      <c r="G78" s="107"/>
      <c r="H78" s="107"/>
      <c r="I78" s="107"/>
      <c r="J78" s="107"/>
      <c r="K78" s="107"/>
      <c r="O78" s="5"/>
      <c r="P78" s="5"/>
      <c r="S78" s="2"/>
      <c r="T78" s="2"/>
      <c r="U78" s="6"/>
      <c r="V78" s="2"/>
      <c r="W78" s="2"/>
      <c r="X78" s="2"/>
      <c r="Y78" s="2"/>
      <c r="AA78" s="2"/>
      <c r="AB78" s="2"/>
      <c r="AC78" s="2"/>
      <c r="AD78" s="2"/>
      <c r="AE78" s="2"/>
      <c r="AF78" s="2"/>
      <c r="AH78" s="2"/>
      <c r="AX78" s="411"/>
      <c r="AY78" s="411"/>
      <c r="AZ78" s="411"/>
      <c r="BA78" s="2"/>
      <c r="BB78" s="2"/>
      <c r="BO78" s="1913"/>
      <c r="BP78" s="1913"/>
      <c r="BQ78" s="744"/>
    </row>
    <row r="79" spans="1:149" s="34" customFormat="1" ht="15" hidden="1" customHeight="1">
      <c r="A79" s="109"/>
      <c r="B79" s="110"/>
      <c r="C79" s="69"/>
      <c r="D79" s="273">
        <f>D76/C76</f>
        <v>0.52086811352253759</v>
      </c>
      <c r="E79" s="110"/>
      <c r="F79" s="167"/>
      <c r="G79" s="110"/>
      <c r="H79" s="110"/>
      <c r="I79" s="110"/>
      <c r="J79" s="110"/>
      <c r="K79" s="110"/>
      <c r="N79" s="1614"/>
      <c r="O79" s="1614"/>
      <c r="Q79" s="60"/>
      <c r="R79" s="254">
        <f>R77*0.35</f>
        <v>1269034259.1499999</v>
      </c>
      <c r="S79" s="255"/>
      <c r="T79" s="255"/>
      <c r="U79" s="256">
        <f>R79/R81</f>
        <v>0.99061545112905991</v>
      </c>
      <c r="V79" s="22"/>
      <c r="W79" s="22"/>
      <c r="X79" s="22"/>
      <c r="Y79" s="22"/>
      <c r="AA79" s="22"/>
      <c r="AB79" s="22"/>
      <c r="AC79" s="22"/>
      <c r="AD79" s="22"/>
      <c r="AE79" s="251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195"/>
      <c r="BD79" s="195"/>
      <c r="BE79" s="195"/>
      <c r="BF79" s="195"/>
      <c r="BG79" s="1914"/>
      <c r="BH79" s="1914"/>
      <c r="BI79" s="1914"/>
      <c r="BJ79" s="1914"/>
      <c r="BK79" s="1914"/>
      <c r="BL79" s="1914"/>
      <c r="BM79" s="1914"/>
      <c r="BN79" s="1914"/>
      <c r="BO79" s="1914"/>
      <c r="BP79" s="1914"/>
    </row>
    <row r="80" spans="1:149" ht="13.5" hidden="1" customHeight="1">
      <c r="A80" s="106"/>
      <c r="B80" s="107"/>
      <c r="C80" s="201"/>
      <c r="D80" s="168"/>
      <c r="E80" s="200"/>
      <c r="F80" s="107"/>
      <c r="G80" s="107"/>
      <c r="H80" s="107"/>
      <c r="I80" s="107"/>
      <c r="J80" s="107"/>
      <c r="K80" s="107"/>
      <c r="Q80" s="141"/>
      <c r="R80" s="117"/>
      <c r="S80" s="253"/>
      <c r="T80" s="253"/>
      <c r="U80" s="257"/>
      <c r="V80" s="22"/>
      <c r="W80" s="22"/>
      <c r="X80" s="22"/>
      <c r="Y80" s="22"/>
      <c r="AA80" s="22"/>
      <c r="AB80" s="22"/>
      <c r="AC80" s="22"/>
      <c r="AD80" s="22"/>
      <c r="AE80" s="22"/>
      <c r="AF80" s="22"/>
      <c r="AG80" s="252"/>
      <c r="AH80" s="22"/>
      <c r="AI80" s="22"/>
      <c r="AJ80" s="22"/>
      <c r="AK80" s="252"/>
      <c r="AL80" s="252"/>
      <c r="AM80" s="252"/>
      <c r="AN80" s="252"/>
      <c r="AO80" s="252"/>
      <c r="AP80" s="252"/>
      <c r="AQ80" s="252"/>
      <c r="AR80" s="252"/>
      <c r="AS80" s="22"/>
      <c r="AT80" s="252"/>
      <c r="AU80" s="252"/>
      <c r="AV80" s="252"/>
      <c r="AW80" s="252"/>
      <c r="AX80" s="252"/>
      <c r="AY80" s="252"/>
      <c r="AZ80" s="252"/>
      <c r="BA80" s="22"/>
      <c r="BB80" s="22"/>
    </row>
    <row r="81" spans="1:149" ht="13.5" hidden="1" customHeight="1">
      <c r="A81" s="106"/>
      <c r="B81" s="107"/>
      <c r="C81" s="199"/>
      <c r="D81" s="169"/>
      <c r="E81" s="107"/>
      <c r="F81" s="107"/>
      <c r="G81" s="107"/>
      <c r="H81" s="107"/>
      <c r="I81" s="107"/>
      <c r="J81" s="107"/>
      <c r="K81" s="107"/>
      <c r="Q81" s="61"/>
      <c r="R81" s="258">
        <f>'Table 6 (Local Deduct Calc.)'!E78+'Table 6 (Local Deduct Calc.)'!H78+'Table 6 (Local Deduct Calc.)'!I78</f>
        <v>1281056395.5</v>
      </c>
      <c r="S81" s="253" t="s">
        <v>242</v>
      </c>
      <c r="T81" s="253"/>
      <c r="U81" s="259"/>
      <c r="V81" s="22"/>
      <c r="W81" s="22"/>
      <c r="X81" s="22"/>
      <c r="Y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</row>
    <row r="82" spans="1:149" ht="13.5" hidden="1" customHeight="1">
      <c r="A82" s="106"/>
      <c r="B82" s="107"/>
      <c r="C82" s="199"/>
      <c r="D82" s="107"/>
      <c r="E82" s="107"/>
      <c r="F82" s="107"/>
      <c r="G82" s="107"/>
      <c r="H82" s="107"/>
      <c r="I82" s="107"/>
      <c r="J82" s="107"/>
      <c r="K82" s="107"/>
      <c r="R82" s="117"/>
      <c r="S82" s="253"/>
      <c r="T82" s="253"/>
      <c r="U82" s="259"/>
      <c r="V82" s="22"/>
      <c r="W82" s="22"/>
      <c r="X82" s="22"/>
      <c r="Y82" s="22"/>
      <c r="AA82" s="22"/>
      <c r="AB82" s="22"/>
      <c r="AC82" s="22"/>
      <c r="AD82" s="22"/>
      <c r="AE82" s="22"/>
      <c r="AF82" s="22"/>
      <c r="AG82" s="25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52"/>
      <c r="BA82" s="22"/>
      <c r="BB82" s="22"/>
    </row>
    <row r="83" spans="1:149" ht="13.5" hidden="1" customHeight="1">
      <c r="A83" s="106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R83" s="117"/>
      <c r="S83" s="253"/>
      <c r="T83" s="253"/>
      <c r="U83" s="259"/>
      <c r="V83" s="22"/>
      <c r="W83" s="22"/>
      <c r="X83" s="22"/>
      <c r="Y83" s="22"/>
      <c r="AA83" s="22"/>
      <c r="AB83" s="22"/>
      <c r="AC83" s="22"/>
      <c r="AD83" s="22"/>
      <c r="AE83" s="22"/>
      <c r="AF83" s="22"/>
      <c r="AG83" s="25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52"/>
      <c r="BA83" s="22"/>
      <c r="BB83" s="22"/>
    </row>
    <row r="84" spans="1:149" ht="21.75" hidden="1" customHeight="1" thickBot="1">
      <c r="A84" s="106"/>
      <c r="B84" s="107"/>
      <c r="C84" s="138"/>
      <c r="D84" s="286"/>
      <c r="E84" s="286"/>
      <c r="F84" s="286"/>
      <c r="G84" s="286"/>
      <c r="H84" s="286"/>
      <c r="I84" s="286"/>
      <c r="J84" s="286"/>
      <c r="K84" s="286"/>
      <c r="R84" s="260" t="s">
        <v>243</v>
      </c>
      <c r="S84" s="261"/>
      <c r="T84" s="261"/>
      <c r="U84" s="262"/>
    </row>
    <row r="85" spans="1:149" ht="11.25" customHeight="1">
      <c r="A85" s="106"/>
      <c r="B85" s="107"/>
      <c r="C85" s="1620"/>
      <c r="D85" s="1620"/>
      <c r="E85" s="1620"/>
      <c r="F85" s="1620"/>
      <c r="G85" s="773"/>
      <c r="H85" s="773"/>
      <c r="I85" s="773"/>
      <c r="J85" s="773"/>
      <c r="K85" s="773"/>
      <c r="S85" s="246"/>
      <c r="T85" s="246"/>
      <c r="U85" s="246"/>
    </row>
    <row r="86" spans="1:149" ht="13.5" hidden="1" customHeight="1">
      <c r="A86" s="106"/>
      <c r="B86" s="107"/>
      <c r="C86" s="773"/>
      <c r="D86" s="773"/>
      <c r="E86" s="773"/>
      <c r="F86" s="773"/>
      <c r="G86" s="773"/>
      <c r="H86" s="773"/>
      <c r="I86" s="773"/>
      <c r="J86" s="773"/>
      <c r="K86" s="773"/>
      <c r="S86" s="246"/>
      <c r="T86" s="246"/>
      <c r="U86" s="246"/>
      <c r="Z86" s="592" t="s">
        <v>442</v>
      </c>
    </row>
    <row r="87" spans="1:149" ht="15.75" hidden="1" customHeight="1" thickBot="1">
      <c r="A87" s="106"/>
      <c r="B87" s="107"/>
      <c r="C87" s="168"/>
      <c r="D87" s="138"/>
      <c r="E87" s="286"/>
      <c r="F87" s="286"/>
      <c r="G87" s="286"/>
      <c r="H87" s="286"/>
      <c r="I87" s="286"/>
      <c r="J87" s="286"/>
      <c r="K87" s="286"/>
      <c r="S87" s="246"/>
      <c r="T87" s="246"/>
      <c r="U87" s="246"/>
      <c r="Z87" s="943">
        <v>704594</v>
      </c>
      <c r="AG87" s="6">
        <f>AE77+U77</f>
        <v>2787005437.4551497</v>
      </c>
      <c r="AI87" s="23">
        <f>'Table 4 Level 3'!O75</f>
        <v>148423731</v>
      </c>
      <c r="AJ87" s="2"/>
      <c r="AK87" s="411">
        <f>AI77+AG77</f>
        <v>2935429168.4551492</v>
      </c>
      <c r="AL87" s="411"/>
      <c r="AM87" s="411">
        <f>'Table 4 Level 3'!R75</f>
        <v>623185581.67210746</v>
      </c>
      <c r="AN87" s="411"/>
      <c r="AO87" s="409">
        <f>AG77+AM77</f>
        <v>3410191019.1272564</v>
      </c>
      <c r="AP87" s="411"/>
      <c r="AQ87" s="411"/>
      <c r="AR87" s="411"/>
      <c r="AS87" s="2"/>
      <c r="AT87" s="411"/>
      <c r="AU87" s="411"/>
      <c r="AV87" s="411"/>
      <c r="AW87" s="407">
        <f>AS77+AO77</f>
        <v>5798807111.6972561</v>
      </c>
    </row>
    <row r="88" spans="1:149" ht="13.5" hidden="1" customHeight="1" thickTop="1">
      <c r="A88" s="106"/>
      <c r="B88" s="107"/>
      <c r="C88" s="107"/>
      <c r="D88" s="1217"/>
      <c r="E88" s="107"/>
      <c r="F88" s="107"/>
      <c r="G88" s="107"/>
      <c r="H88" s="107"/>
      <c r="I88" s="107"/>
      <c r="J88" s="107"/>
      <c r="K88" s="107"/>
      <c r="S88" s="246"/>
      <c r="T88" s="246"/>
      <c r="U88" s="246"/>
      <c r="Z88" s="592" t="s">
        <v>443</v>
      </c>
    </row>
    <row r="89" spans="1:149" ht="13.5" hidden="1" customHeight="1">
      <c r="A89" s="291"/>
      <c r="B89" s="138"/>
      <c r="C89" s="462"/>
      <c r="D89" s="138"/>
      <c r="E89" s="138"/>
      <c r="F89" s="138"/>
      <c r="G89" s="138"/>
      <c r="H89" s="138"/>
      <c r="I89" s="138"/>
      <c r="J89" s="138"/>
      <c r="K89" s="138"/>
      <c r="L89" s="64"/>
      <c r="M89" s="461"/>
      <c r="N89" s="64"/>
      <c r="O89" s="64"/>
      <c r="P89" s="64"/>
      <c r="Q89" s="64"/>
      <c r="R89" s="572"/>
      <c r="S89" s="246"/>
      <c r="T89" s="246"/>
      <c r="U89" s="246"/>
      <c r="Z89" s="944" t="s">
        <v>444</v>
      </c>
    </row>
    <row r="90" spans="1:149" ht="46.5" customHeight="1">
      <c r="A90" s="291"/>
      <c r="B90" s="168"/>
      <c r="C90" s="138"/>
      <c r="D90" s="138"/>
      <c r="E90" s="138"/>
      <c r="F90" s="138"/>
      <c r="G90" s="138"/>
      <c r="H90" s="138"/>
      <c r="I90" s="138"/>
      <c r="J90" s="138"/>
      <c r="K90" s="138"/>
      <c r="L90" s="64"/>
      <c r="M90" s="461"/>
      <c r="N90" s="64"/>
      <c r="O90" s="64"/>
      <c r="P90" s="64"/>
      <c r="Q90" s="64"/>
      <c r="R90" s="64"/>
      <c r="S90" s="246"/>
      <c r="T90" s="246"/>
      <c r="U90" s="246"/>
      <c r="Z90" s="292"/>
    </row>
    <row r="91" spans="1:149">
      <c r="A91" s="291"/>
      <c r="B91" s="944"/>
      <c r="D91" s="138"/>
      <c r="E91" s="138"/>
      <c r="F91" s="138"/>
      <c r="G91" s="138"/>
      <c r="H91" s="138"/>
      <c r="I91" s="138"/>
      <c r="J91" s="138"/>
      <c r="K91" s="138"/>
      <c r="L91" s="64"/>
      <c r="M91" s="461"/>
      <c r="N91" s="64"/>
      <c r="O91" s="64"/>
      <c r="P91" s="64"/>
      <c r="Q91" s="64"/>
      <c r="R91" s="64"/>
      <c r="S91" s="246"/>
      <c r="T91" s="246"/>
      <c r="U91" s="246"/>
      <c r="Z91" s="292"/>
    </row>
    <row r="92" spans="1:149">
      <c r="A92" s="291"/>
      <c r="B92" s="944"/>
      <c r="C92" s="138"/>
      <c r="D92" s="796"/>
      <c r="E92" s="138"/>
      <c r="F92" s="138"/>
      <c r="G92" s="138"/>
      <c r="H92" s="138"/>
      <c r="I92" s="138"/>
      <c r="J92" s="138"/>
      <c r="K92" s="138"/>
      <c r="L92" s="64"/>
      <c r="M92" s="461"/>
      <c r="N92" s="64"/>
      <c r="O92" s="64"/>
      <c r="P92" s="64"/>
      <c r="Q92" s="64"/>
      <c r="R92" s="64"/>
      <c r="S92" s="246"/>
      <c r="T92" s="246"/>
      <c r="U92" s="246"/>
      <c r="Z92" s="292"/>
    </row>
    <row r="93" spans="1:149">
      <c r="A93" s="291"/>
      <c r="B93" s="944"/>
      <c r="C93" s="138"/>
      <c r="E93" s="138"/>
      <c r="F93" s="138"/>
      <c r="G93" s="138"/>
      <c r="H93" s="138"/>
      <c r="I93" s="138"/>
      <c r="J93" s="138"/>
      <c r="K93" s="138"/>
      <c r="L93" s="64"/>
      <c r="M93" s="461"/>
      <c r="N93" s="64"/>
      <c r="O93" s="64"/>
      <c r="P93" s="64"/>
      <c r="Q93" s="64"/>
      <c r="R93" s="64"/>
      <c r="S93" s="246"/>
      <c r="T93" s="246"/>
      <c r="U93" s="246"/>
      <c r="Z93" s="292"/>
    </row>
    <row r="94" spans="1:149">
      <c r="A94" s="291"/>
      <c r="B94" s="138"/>
      <c r="C94" s="138"/>
      <c r="E94" s="138"/>
      <c r="F94" s="138"/>
      <c r="G94" s="138"/>
      <c r="H94" s="138"/>
      <c r="I94" s="138"/>
      <c r="J94" s="138"/>
      <c r="K94" s="138"/>
      <c r="L94" s="64"/>
      <c r="M94" s="461"/>
      <c r="N94" s="64"/>
      <c r="O94" s="64"/>
      <c r="P94" s="64"/>
      <c r="Q94" s="64"/>
      <c r="R94" s="64"/>
      <c r="S94" s="246"/>
      <c r="T94" s="246"/>
      <c r="U94" s="246"/>
    </row>
    <row r="95" spans="1:149">
      <c r="A95" s="291"/>
      <c r="B95" s="944"/>
      <c r="C95" s="168"/>
      <c r="D95" s="138"/>
      <c r="E95" s="138"/>
      <c r="F95" s="138"/>
      <c r="G95" s="138"/>
      <c r="H95" s="138"/>
      <c r="I95" s="138"/>
      <c r="J95" s="138"/>
      <c r="K95" s="138"/>
      <c r="L95" s="64"/>
      <c r="M95" s="461"/>
      <c r="N95" s="64"/>
      <c r="O95" s="64"/>
      <c r="P95" s="64"/>
      <c r="Q95" s="64"/>
      <c r="R95" s="64"/>
      <c r="S95" s="246"/>
      <c r="T95" s="246"/>
      <c r="U95" s="246"/>
    </row>
    <row r="96" spans="1:149" s="338" customFormat="1">
      <c r="A96" s="291"/>
      <c r="B96" s="291"/>
      <c r="C96" s="291"/>
      <c r="D96" s="291"/>
      <c r="E96" s="291"/>
      <c r="F96" s="291"/>
      <c r="G96" s="291"/>
      <c r="H96" s="291"/>
      <c r="I96" s="291"/>
      <c r="J96" s="291"/>
      <c r="K96" s="291"/>
      <c r="L96" s="463"/>
      <c r="M96" s="464"/>
      <c r="N96" s="463"/>
      <c r="O96" s="463"/>
      <c r="P96" s="463"/>
      <c r="Q96" s="463"/>
      <c r="R96" s="463"/>
      <c r="S96" s="465"/>
      <c r="T96" s="465"/>
      <c r="U96" s="465"/>
      <c r="V96" s="291"/>
      <c r="W96" s="291"/>
      <c r="X96" s="291"/>
      <c r="Y96" s="291"/>
      <c r="Z96" s="291"/>
      <c r="AA96" s="336"/>
      <c r="AB96" s="336"/>
      <c r="AC96" s="336"/>
      <c r="AD96" s="336"/>
      <c r="AE96" s="336"/>
      <c r="AF96" s="336"/>
      <c r="AG96" s="336"/>
      <c r="AH96" s="336"/>
      <c r="AI96" s="336"/>
      <c r="AJ96" s="336"/>
      <c r="AK96" s="336"/>
      <c r="AL96" s="336"/>
      <c r="AM96" s="336"/>
      <c r="AN96" s="336"/>
      <c r="AO96" s="336"/>
      <c r="AP96" s="336"/>
      <c r="AQ96" s="336"/>
      <c r="AR96" s="336"/>
      <c r="AS96" s="336"/>
      <c r="AT96" s="336"/>
      <c r="AU96" s="336"/>
      <c r="AV96" s="336"/>
      <c r="AW96" s="336"/>
      <c r="AX96" s="336"/>
      <c r="AY96" s="336"/>
      <c r="AZ96" s="336"/>
      <c r="BA96" s="336"/>
      <c r="BB96" s="336"/>
      <c r="BC96" s="1915"/>
      <c r="BD96" s="1915"/>
      <c r="BE96" s="1915"/>
      <c r="BF96" s="1915"/>
      <c r="BG96" s="1916"/>
      <c r="BH96" s="1916"/>
      <c r="BI96" s="1916"/>
      <c r="BJ96" s="1916"/>
      <c r="BK96" s="1916"/>
      <c r="BL96" s="1916"/>
      <c r="BM96" s="1916"/>
      <c r="BN96" s="1916"/>
      <c r="BO96" s="1916"/>
      <c r="BP96" s="1916"/>
      <c r="BQ96" s="339"/>
      <c r="BR96" s="339"/>
      <c r="BS96" s="339"/>
      <c r="BT96" s="339"/>
      <c r="BU96" s="339"/>
      <c r="BV96" s="339"/>
      <c r="BW96" s="339"/>
      <c r="BX96" s="339"/>
      <c r="BY96" s="339"/>
      <c r="BZ96" s="339"/>
      <c r="CA96" s="339"/>
      <c r="CB96" s="339"/>
      <c r="CC96" s="339"/>
      <c r="CD96" s="339"/>
      <c r="CE96" s="339"/>
      <c r="CF96" s="339"/>
      <c r="CG96" s="339"/>
      <c r="CH96" s="339"/>
      <c r="CI96" s="339"/>
      <c r="CJ96" s="339"/>
      <c r="CK96" s="339"/>
      <c r="CL96" s="339"/>
      <c r="CM96" s="339"/>
      <c r="CN96" s="339"/>
      <c r="CO96" s="339"/>
      <c r="CP96" s="339"/>
      <c r="CQ96" s="339"/>
      <c r="CR96" s="339"/>
      <c r="CS96" s="339"/>
      <c r="CT96" s="339"/>
      <c r="CU96" s="339"/>
      <c r="CV96" s="339"/>
      <c r="CW96" s="339"/>
      <c r="CX96" s="339"/>
      <c r="CY96" s="339"/>
      <c r="CZ96" s="339"/>
      <c r="DA96" s="339"/>
      <c r="DB96" s="339"/>
      <c r="DC96" s="339"/>
      <c r="DD96" s="339"/>
      <c r="DE96" s="339"/>
      <c r="DF96" s="339"/>
      <c r="DG96" s="339"/>
      <c r="DH96" s="339"/>
      <c r="DI96" s="339"/>
      <c r="DJ96" s="339"/>
      <c r="DK96" s="339"/>
      <c r="DL96" s="339"/>
      <c r="DM96" s="339"/>
      <c r="DN96" s="339"/>
      <c r="DO96" s="339"/>
      <c r="DP96" s="339"/>
      <c r="DQ96" s="339"/>
      <c r="DR96" s="339"/>
      <c r="DS96" s="339"/>
      <c r="DT96" s="339"/>
      <c r="DU96" s="339"/>
      <c r="DV96" s="339"/>
      <c r="DW96" s="339"/>
      <c r="DX96" s="339"/>
      <c r="DY96" s="339"/>
      <c r="DZ96" s="339"/>
      <c r="EA96" s="339"/>
      <c r="EB96" s="339"/>
      <c r="EC96" s="339"/>
      <c r="ED96" s="339"/>
      <c r="EE96" s="339"/>
      <c r="EF96" s="339"/>
      <c r="EG96" s="339"/>
      <c r="EH96" s="339"/>
      <c r="EI96" s="339"/>
      <c r="EJ96" s="339"/>
      <c r="EK96" s="339"/>
      <c r="EL96" s="339"/>
      <c r="EM96" s="339"/>
      <c r="EN96" s="339"/>
      <c r="EO96" s="339"/>
      <c r="EP96" s="339"/>
      <c r="EQ96" s="339"/>
      <c r="ER96" s="339"/>
      <c r="ES96" s="339"/>
    </row>
    <row r="97" spans="1:149">
      <c r="A97" s="291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64"/>
      <c r="M97" s="461"/>
      <c r="N97" s="64"/>
      <c r="O97" s="64"/>
      <c r="P97" s="64"/>
      <c r="Q97" s="64"/>
      <c r="R97" s="64"/>
      <c r="S97" s="246"/>
      <c r="T97" s="246"/>
      <c r="U97" s="246"/>
    </row>
    <row r="98" spans="1:149" s="337" customFormat="1">
      <c r="A98" s="291"/>
      <c r="B98" s="168"/>
      <c r="C98" s="138"/>
      <c r="D98" s="138"/>
      <c r="E98" s="138"/>
      <c r="F98" s="138"/>
      <c r="G98" s="138"/>
      <c r="H98" s="138"/>
      <c r="I98" s="138"/>
      <c r="J98" s="138"/>
      <c r="K98" s="138"/>
      <c r="L98" s="64"/>
      <c r="M98" s="461"/>
      <c r="N98" s="64"/>
      <c r="O98" s="64"/>
      <c r="P98" s="64"/>
      <c r="Q98" s="64"/>
      <c r="R98" s="64"/>
      <c r="S98" s="246"/>
      <c r="T98" s="246"/>
      <c r="U98" s="246"/>
      <c r="V98" s="138"/>
      <c r="W98" s="138"/>
      <c r="X98" s="138"/>
      <c r="Y98" s="138"/>
      <c r="Z98" s="138"/>
      <c r="AA98" s="288"/>
      <c r="AB98" s="288"/>
      <c r="AC98" s="288"/>
      <c r="AD98" s="288"/>
      <c r="AE98" s="288"/>
      <c r="AF98" s="288"/>
      <c r="AG98" s="288"/>
      <c r="AH98" s="288"/>
      <c r="AI98" s="288"/>
      <c r="AJ98" s="288"/>
      <c r="AK98" s="288"/>
      <c r="AL98" s="288"/>
      <c r="AM98" s="288"/>
      <c r="AN98" s="288"/>
      <c r="AO98" s="288"/>
      <c r="AP98" s="288"/>
      <c r="AQ98" s="288"/>
      <c r="AR98" s="288"/>
      <c r="AS98" s="288"/>
      <c r="AT98" s="288"/>
      <c r="AU98" s="288"/>
      <c r="AV98" s="288"/>
      <c r="AW98" s="288"/>
      <c r="AX98" s="288"/>
      <c r="AY98" s="288"/>
      <c r="AZ98" s="288"/>
      <c r="BA98" s="288"/>
      <c r="BB98" s="288"/>
      <c r="BC98" s="176"/>
      <c r="BD98" s="176"/>
      <c r="BE98" s="176"/>
      <c r="BF98" s="176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272"/>
      <c r="BR98" s="272"/>
      <c r="BS98" s="272"/>
      <c r="BT98" s="272"/>
      <c r="BU98" s="272"/>
      <c r="BV98" s="272"/>
      <c r="BW98" s="272"/>
      <c r="BX98" s="272"/>
      <c r="BY98" s="272"/>
      <c r="BZ98" s="272"/>
      <c r="CA98" s="272"/>
      <c r="CB98" s="272"/>
      <c r="CC98" s="272"/>
      <c r="CD98" s="272"/>
      <c r="CE98" s="272"/>
      <c r="CF98" s="272"/>
      <c r="CG98" s="272"/>
      <c r="CH98" s="272"/>
      <c r="CI98" s="272"/>
      <c r="CJ98" s="272"/>
      <c r="CK98" s="272"/>
      <c r="CL98" s="272"/>
      <c r="CM98" s="272"/>
      <c r="CN98" s="272"/>
      <c r="CO98" s="272"/>
      <c r="CP98" s="272"/>
      <c r="CQ98" s="272"/>
      <c r="CR98" s="272"/>
      <c r="CS98" s="272"/>
      <c r="CT98" s="272"/>
      <c r="CU98" s="272"/>
      <c r="CV98" s="272"/>
      <c r="CW98" s="272"/>
      <c r="CX98" s="272"/>
      <c r="CY98" s="272"/>
      <c r="CZ98" s="272"/>
      <c r="DA98" s="272"/>
      <c r="DB98" s="272"/>
      <c r="DC98" s="272"/>
      <c r="DD98" s="272"/>
      <c r="DE98" s="272"/>
      <c r="DF98" s="272"/>
      <c r="DG98" s="272"/>
      <c r="DH98" s="272"/>
      <c r="DI98" s="272"/>
      <c r="DJ98" s="272"/>
      <c r="DK98" s="272"/>
      <c r="DL98" s="272"/>
      <c r="DM98" s="272"/>
      <c r="DN98" s="272"/>
      <c r="DO98" s="272"/>
      <c r="DP98" s="272"/>
      <c r="DQ98" s="272"/>
      <c r="DR98" s="272"/>
      <c r="DS98" s="272"/>
      <c r="DT98" s="272"/>
      <c r="DU98" s="272"/>
      <c r="DV98" s="272"/>
      <c r="DW98" s="272"/>
      <c r="DX98" s="272"/>
      <c r="DY98" s="272"/>
      <c r="DZ98" s="272"/>
      <c r="EA98" s="272"/>
      <c r="EB98" s="272"/>
      <c r="EC98" s="272"/>
      <c r="ED98" s="272"/>
      <c r="EE98" s="272"/>
      <c r="EF98" s="272"/>
      <c r="EG98" s="272"/>
      <c r="EH98" s="272"/>
      <c r="EI98" s="272"/>
      <c r="EJ98" s="272"/>
      <c r="EK98" s="272"/>
      <c r="EL98" s="272"/>
      <c r="EM98" s="272"/>
      <c r="EN98" s="272"/>
      <c r="EO98" s="272"/>
      <c r="EP98" s="272"/>
      <c r="EQ98" s="272"/>
      <c r="ER98" s="272"/>
      <c r="ES98" s="272"/>
    </row>
    <row r="99" spans="1:149" ht="13.5" customHeight="1">
      <c r="A99" s="291"/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64"/>
      <c r="M99" s="461"/>
      <c r="N99" s="64"/>
      <c r="O99" s="64"/>
      <c r="P99" s="64"/>
      <c r="Q99" s="64"/>
      <c r="R99" s="64"/>
      <c r="S99" s="246"/>
      <c r="T99" s="246"/>
      <c r="U99" s="246"/>
    </row>
    <row r="100" spans="1:149" s="337" customFormat="1">
      <c r="A100" s="291"/>
      <c r="B100" s="168"/>
      <c r="C100" s="138"/>
      <c r="D100" s="138"/>
      <c r="E100" s="138"/>
      <c r="F100" s="138"/>
      <c r="G100" s="138"/>
      <c r="H100" s="138"/>
      <c r="I100" s="138"/>
      <c r="J100" s="138"/>
      <c r="K100" s="138"/>
      <c r="L100" s="64"/>
      <c r="M100" s="461"/>
      <c r="N100" s="64"/>
      <c r="O100" s="64"/>
      <c r="P100" s="64"/>
      <c r="Q100" s="64"/>
      <c r="R100" s="64"/>
      <c r="S100" s="246"/>
      <c r="T100" s="246"/>
      <c r="U100" s="246"/>
      <c r="V100" s="138"/>
      <c r="W100" s="138"/>
      <c r="X100" s="138"/>
      <c r="Y100" s="138"/>
      <c r="Z100" s="138"/>
      <c r="AA100" s="288"/>
      <c r="AB100" s="288"/>
      <c r="AC100" s="288"/>
      <c r="AD100" s="288"/>
      <c r="AE100" s="288"/>
      <c r="AF100" s="288"/>
      <c r="AG100" s="288"/>
      <c r="AH100" s="288"/>
      <c r="AI100" s="288"/>
      <c r="AJ100" s="288"/>
      <c r="AK100" s="288"/>
      <c r="AL100" s="288"/>
      <c r="AM100" s="288"/>
      <c r="AN100" s="288"/>
      <c r="AO100" s="288"/>
      <c r="AP100" s="288"/>
      <c r="AQ100" s="288"/>
      <c r="AR100" s="288"/>
      <c r="AS100" s="288"/>
      <c r="AT100" s="288"/>
      <c r="AU100" s="288"/>
      <c r="AV100" s="288"/>
      <c r="AW100" s="288"/>
      <c r="AX100" s="288"/>
      <c r="AY100" s="288"/>
      <c r="AZ100" s="288"/>
      <c r="BA100" s="288"/>
      <c r="BB100" s="288"/>
      <c r="BC100" s="176"/>
      <c r="BD100" s="176"/>
      <c r="BE100" s="176"/>
      <c r="BF100" s="176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272"/>
      <c r="BR100" s="272"/>
      <c r="BS100" s="272"/>
      <c r="BT100" s="272"/>
      <c r="BU100" s="272"/>
      <c r="BV100" s="272"/>
      <c r="BW100" s="272"/>
      <c r="BX100" s="272"/>
      <c r="BY100" s="272"/>
      <c r="BZ100" s="272"/>
      <c r="CA100" s="272"/>
      <c r="CB100" s="272"/>
      <c r="CC100" s="272"/>
      <c r="CD100" s="272"/>
      <c r="CE100" s="272"/>
      <c r="CF100" s="272"/>
      <c r="CG100" s="272"/>
      <c r="CH100" s="272"/>
      <c r="CI100" s="272"/>
      <c r="CJ100" s="272"/>
      <c r="CK100" s="272"/>
      <c r="CL100" s="272"/>
      <c r="CM100" s="272"/>
      <c r="CN100" s="272"/>
      <c r="CO100" s="272"/>
      <c r="CP100" s="272"/>
      <c r="CQ100" s="272"/>
      <c r="CR100" s="272"/>
      <c r="CS100" s="272"/>
      <c r="CT100" s="272"/>
      <c r="CU100" s="272"/>
      <c r="CV100" s="272"/>
      <c r="CW100" s="272"/>
      <c r="CX100" s="272"/>
      <c r="CY100" s="272"/>
      <c r="CZ100" s="272"/>
      <c r="DA100" s="272"/>
      <c r="DB100" s="272"/>
      <c r="DC100" s="272"/>
      <c r="DD100" s="272"/>
      <c r="DE100" s="272"/>
      <c r="DF100" s="272"/>
      <c r="DG100" s="272"/>
      <c r="DH100" s="272"/>
      <c r="DI100" s="272"/>
      <c r="DJ100" s="272"/>
      <c r="DK100" s="272"/>
      <c r="DL100" s="272"/>
      <c r="DM100" s="272"/>
      <c r="DN100" s="272"/>
      <c r="DO100" s="272"/>
      <c r="DP100" s="272"/>
      <c r="DQ100" s="272"/>
      <c r="DR100" s="272"/>
      <c r="DS100" s="272"/>
      <c r="DT100" s="272"/>
      <c r="DU100" s="272"/>
      <c r="DV100" s="272"/>
      <c r="DW100" s="272"/>
      <c r="DX100" s="272"/>
      <c r="DY100" s="272"/>
      <c r="DZ100" s="272"/>
      <c r="EA100" s="272"/>
      <c r="EB100" s="272"/>
      <c r="EC100" s="272"/>
      <c r="ED100" s="272"/>
      <c r="EE100" s="272"/>
      <c r="EF100" s="272"/>
      <c r="EG100" s="272"/>
      <c r="EH100" s="272"/>
      <c r="EI100" s="272"/>
      <c r="EJ100" s="272"/>
      <c r="EK100" s="272"/>
      <c r="EL100" s="272"/>
      <c r="EM100" s="272"/>
      <c r="EN100" s="272"/>
      <c r="EO100" s="272"/>
      <c r="EP100" s="272"/>
      <c r="EQ100" s="272"/>
      <c r="ER100" s="272"/>
      <c r="ES100" s="272"/>
    </row>
    <row r="101" spans="1:149">
      <c r="A101" s="291"/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64"/>
      <c r="M101" s="461"/>
      <c r="N101" s="64"/>
      <c r="O101" s="64"/>
      <c r="P101" s="64"/>
      <c r="Q101" s="64"/>
      <c r="R101" s="64"/>
      <c r="S101" s="246"/>
      <c r="T101" s="246"/>
      <c r="U101" s="246"/>
    </row>
    <row r="102" spans="1:149" s="337" customFormat="1">
      <c r="A102" s="291"/>
      <c r="B102" s="168"/>
      <c r="C102" s="138"/>
      <c r="D102" s="138"/>
      <c r="E102" s="138"/>
      <c r="F102" s="138"/>
      <c r="G102" s="138"/>
      <c r="H102" s="138"/>
      <c r="I102" s="138"/>
      <c r="J102" s="138"/>
      <c r="K102" s="138"/>
      <c r="L102" s="64"/>
      <c r="M102" s="461"/>
      <c r="N102" s="64"/>
      <c r="O102" s="64"/>
      <c r="P102" s="64"/>
      <c r="Q102" s="64"/>
      <c r="R102" s="64"/>
      <c r="S102" s="246"/>
      <c r="T102" s="246"/>
      <c r="U102" s="246"/>
      <c r="V102" s="138"/>
      <c r="W102" s="138"/>
      <c r="X102" s="138"/>
      <c r="Y102" s="138"/>
      <c r="Z102" s="138"/>
      <c r="AA102" s="288"/>
      <c r="AB102" s="288"/>
      <c r="AC102" s="288"/>
      <c r="AD102" s="288"/>
      <c r="AE102" s="288"/>
      <c r="AF102" s="288"/>
      <c r="AG102" s="288"/>
      <c r="AH102" s="288"/>
      <c r="AI102" s="288"/>
      <c r="AJ102" s="288"/>
      <c r="AK102" s="288"/>
      <c r="AL102" s="288"/>
      <c r="AM102" s="288"/>
      <c r="AN102" s="288"/>
      <c r="AO102" s="288"/>
      <c r="AP102" s="288"/>
      <c r="AQ102" s="288"/>
      <c r="AR102" s="288"/>
      <c r="AS102" s="288"/>
      <c r="AT102" s="288"/>
      <c r="AU102" s="288"/>
      <c r="AV102" s="288"/>
      <c r="AW102" s="288"/>
      <c r="AX102" s="288"/>
      <c r="AY102" s="288"/>
      <c r="AZ102" s="288"/>
      <c r="BA102" s="288"/>
      <c r="BB102" s="288"/>
      <c r="BC102" s="176"/>
      <c r="BD102" s="176"/>
      <c r="BE102" s="176"/>
      <c r="BF102" s="176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272"/>
      <c r="BR102" s="272"/>
      <c r="BS102" s="272"/>
      <c r="BT102" s="272"/>
      <c r="BU102" s="272"/>
      <c r="BV102" s="272"/>
      <c r="BW102" s="272"/>
      <c r="BX102" s="272"/>
      <c r="BY102" s="272"/>
      <c r="BZ102" s="272"/>
      <c r="CA102" s="272"/>
      <c r="CB102" s="272"/>
      <c r="CC102" s="272"/>
      <c r="CD102" s="272"/>
      <c r="CE102" s="272"/>
      <c r="CF102" s="272"/>
      <c r="CG102" s="272"/>
      <c r="CH102" s="272"/>
      <c r="CI102" s="272"/>
      <c r="CJ102" s="272"/>
      <c r="CK102" s="272"/>
      <c r="CL102" s="272"/>
      <c r="CM102" s="272"/>
      <c r="CN102" s="272"/>
      <c r="CO102" s="272"/>
      <c r="CP102" s="272"/>
      <c r="CQ102" s="272"/>
      <c r="CR102" s="272"/>
      <c r="CS102" s="272"/>
      <c r="CT102" s="272"/>
      <c r="CU102" s="272"/>
      <c r="CV102" s="272"/>
      <c r="CW102" s="272"/>
      <c r="CX102" s="272"/>
      <c r="CY102" s="272"/>
      <c r="CZ102" s="272"/>
      <c r="DA102" s="272"/>
      <c r="DB102" s="272"/>
      <c r="DC102" s="272"/>
      <c r="DD102" s="272"/>
      <c r="DE102" s="272"/>
      <c r="DF102" s="272"/>
      <c r="DG102" s="272"/>
      <c r="DH102" s="272"/>
      <c r="DI102" s="272"/>
      <c r="DJ102" s="272"/>
      <c r="DK102" s="272"/>
      <c r="DL102" s="272"/>
      <c r="DM102" s="272"/>
      <c r="DN102" s="272"/>
      <c r="DO102" s="272"/>
      <c r="DP102" s="272"/>
      <c r="DQ102" s="272"/>
      <c r="DR102" s="272"/>
      <c r="DS102" s="272"/>
      <c r="DT102" s="272"/>
      <c r="DU102" s="272"/>
      <c r="DV102" s="272"/>
      <c r="DW102" s="272"/>
      <c r="DX102" s="272"/>
      <c r="DY102" s="272"/>
      <c r="DZ102" s="272"/>
      <c r="EA102" s="272"/>
      <c r="EB102" s="272"/>
      <c r="EC102" s="272"/>
      <c r="ED102" s="272"/>
      <c r="EE102" s="272"/>
      <c r="EF102" s="272"/>
      <c r="EG102" s="272"/>
      <c r="EH102" s="272"/>
      <c r="EI102" s="272"/>
      <c r="EJ102" s="272"/>
      <c r="EK102" s="272"/>
      <c r="EL102" s="272"/>
      <c r="EM102" s="272"/>
      <c r="EN102" s="272"/>
      <c r="EO102" s="272"/>
      <c r="EP102" s="272"/>
      <c r="EQ102" s="272"/>
      <c r="ER102" s="272"/>
      <c r="ES102" s="272"/>
    </row>
    <row r="103" spans="1:149">
      <c r="A103" s="291"/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64"/>
      <c r="M103" s="461"/>
      <c r="N103" s="64"/>
      <c r="O103" s="64"/>
      <c r="P103" s="64"/>
      <c r="Q103" s="64"/>
      <c r="R103" s="64"/>
      <c r="S103" s="246"/>
      <c r="T103" s="246"/>
      <c r="U103" s="246"/>
    </row>
    <row r="104" spans="1:149" s="337" customFormat="1">
      <c r="A104" s="291"/>
      <c r="B104" s="168"/>
      <c r="C104" s="138"/>
      <c r="D104" s="138"/>
      <c r="E104" s="138"/>
      <c r="F104" s="138"/>
      <c r="G104" s="138"/>
      <c r="H104" s="138"/>
      <c r="I104" s="138"/>
      <c r="J104" s="138"/>
      <c r="K104" s="138"/>
      <c r="L104" s="64"/>
      <c r="M104" s="461"/>
      <c r="N104" s="64"/>
      <c r="O104" s="64"/>
      <c r="P104" s="64"/>
      <c r="Q104" s="64"/>
      <c r="R104" s="64"/>
      <c r="S104" s="246"/>
      <c r="T104" s="246"/>
      <c r="U104" s="246"/>
      <c r="V104" s="138"/>
      <c r="W104" s="138"/>
      <c r="X104" s="138"/>
      <c r="Y104" s="138"/>
      <c r="Z104" s="138"/>
      <c r="AA104" s="288"/>
      <c r="AB104" s="288"/>
      <c r="AC104" s="288"/>
      <c r="AD104" s="288"/>
      <c r="AE104" s="288"/>
      <c r="AF104" s="288"/>
      <c r="AG104" s="288"/>
      <c r="AH104" s="288"/>
      <c r="AI104" s="288"/>
      <c r="AJ104" s="288"/>
      <c r="AK104" s="288"/>
      <c r="AL104" s="288"/>
      <c r="AM104" s="288"/>
      <c r="AN104" s="288"/>
      <c r="AO104" s="288"/>
      <c r="AP104" s="288"/>
      <c r="AQ104" s="288"/>
      <c r="AR104" s="288"/>
      <c r="AS104" s="288"/>
      <c r="AT104" s="288"/>
      <c r="AU104" s="288"/>
      <c r="AV104" s="288"/>
      <c r="AW104" s="288"/>
      <c r="AX104" s="288"/>
      <c r="AY104" s="288"/>
      <c r="AZ104" s="288"/>
      <c r="BA104" s="288"/>
      <c r="BB104" s="288"/>
      <c r="BC104" s="176"/>
      <c r="BD104" s="176"/>
      <c r="BE104" s="176"/>
      <c r="BF104" s="176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272"/>
      <c r="BR104" s="272"/>
      <c r="BS104" s="272"/>
      <c r="BT104" s="272"/>
      <c r="BU104" s="272"/>
      <c r="BV104" s="272"/>
      <c r="BW104" s="272"/>
      <c r="BX104" s="272"/>
      <c r="BY104" s="272"/>
      <c r="BZ104" s="272"/>
      <c r="CA104" s="272"/>
      <c r="CB104" s="272"/>
      <c r="CC104" s="272"/>
      <c r="CD104" s="272"/>
      <c r="CE104" s="272"/>
      <c r="CF104" s="272"/>
      <c r="CG104" s="272"/>
      <c r="CH104" s="272"/>
      <c r="CI104" s="272"/>
      <c r="CJ104" s="272"/>
      <c r="CK104" s="272"/>
      <c r="CL104" s="272"/>
      <c r="CM104" s="272"/>
      <c r="CN104" s="272"/>
      <c r="CO104" s="272"/>
      <c r="CP104" s="272"/>
      <c r="CQ104" s="272"/>
      <c r="CR104" s="272"/>
      <c r="CS104" s="272"/>
      <c r="CT104" s="272"/>
      <c r="CU104" s="272"/>
      <c r="CV104" s="272"/>
      <c r="CW104" s="272"/>
      <c r="CX104" s="272"/>
      <c r="CY104" s="272"/>
      <c r="CZ104" s="272"/>
      <c r="DA104" s="272"/>
      <c r="DB104" s="272"/>
      <c r="DC104" s="272"/>
      <c r="DD104" s="272"/>
      <c r="DE104" s="272"/>
      <c r="DF104" s="272"/>
      <c r="DG104" s="272"/>
      <c r="DH104" s="272"/>
      <c r="DI104" s="272"/>
      <c r="DJ104" s="272"/>
      <c r="DK104" s="272"/>
      <c r="DL104" s="272"/>
      <c r="DM104" s="272"/>
      <c r="DN104" s="272"/>
      <c r="DO104" s="272"/>
      <c r="DP104" s="272"/>
      <c r="DQ104" s="272"/>
      <c r="DR104" s="272"/>
      <c r="DS104" s="272"/>
      <c r="DT104" s="272"/>
      <c r="DU104" s="272"/>
      <c r="DV104" s="272"/>
      <c r="DW104" s="272"/>
      <c r="DX104" s="272"/>
      <c r="DY104" s="272"/>
      <c r="DZ104" s="272"/>
      <c r="EA104" s="272"/>
      <c r="EB104" s="272"/>
      <c r="EC104" s="272"/>
      <c r="ED104" s="272"/>
      <c r="EE104" s="272"/>
      <c r="EF104" s="272"/>
      <c r="EG104" s="272"/>
      <c r="EH104" s="272"/>
      <c r="EI104" s="272"/>
      <c r="EJ104" s="272"/>
      <c r="EK104" s="272"/>
      <c r="EL104" s="272"/>
      <c r="EM104" s="272"/>
      <c r="EN104" s="272"/>
      <c r="EO104" s="272"/>
      <c r="EP104" s="272"/>
      <c r="EQ104" s="272"/>
      <c r="ER104" s="272"/>
      <c r="ES104" s="272"/>
    </row>
    <row r="105" spans="1:149">
      <c r="A105" s="291"/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64"/>
      <c r="M105" s="461"/>
      <c r="N105" s="64"/>
      <c r="O105" s="64"/>
      <c r="P105" s="64"/>
      <c r="Q105" s="64"/>
      <c r="R105" s="64"/>
      <c r="S105" s="246"/>
      <c r="T105" s="246"/>
      <c r="U105" s="246"/>
    </row>
    <row r="106" spans="1:149">
      <c r="A106" s="291"/>
      <c r="B106" s="168"/>
      <c r="C106" s="138"/>
      <c r="D106" s="138"/>
      <c r="E106" s="138"/>
      <c r="F106" s="138"/>
      <c r="G106" s="138"/>
      <c r="H106" s="138"/>
      <c r="I106" s="138"/>
      <c r="J106" s="138"/>
      <c r="K106" s="138"/>
      <c r="L106" s="64"/>
      <c r="M106" s="461"/>
      <c r="N106" s="64"/>
      <c r="O106" s="64"/>
      <c r="P106" s="64"/>
      <c r="Q106" s="64"/>
      <c r="R106" s="64"/>
      <c r="S106" s="246"/>
      <c r="T106" s="246"/>
      <c r="U106" s="246"/>
    </row>
    <row r="107" spans="1:149">
      <c r="A107" s="291"/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64"/>
      <c r="M107" s="461"/>
      <c r="N107" s="64"/>
      <c r="O107" s="64"/>
      <c r="P107" s="64"/>
      <c r="Q107" s="64"/>
      <c r="R107" s="64"/>
      <c r="S107" s="246"/>
      <c r="T107" s="246"/>
      <c r="U107" s="246"/>
    </row>
    <row r="108" spans="1:149">
      <c r="A108" s="291"/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64"/>
      <c r="M108" s="461"/>
      <c r="N108" s="64"/>
      <c r="O108" s="64"/>
      <c r="P108" s="64"/>
      <c r="Q108" s="64"/>
      <c r="R108" s="64"/>
      <c r="S108" s="246"/>
      <c r="T108" s="246"/>
      <c r="U108" s="246"/>
    </row>
    <row r="109" spans="1:149">
      <c r="A109" s="291"/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64"/>
      <c r="M109" s="461"/>
      <c r="N109" s="64"/>
      <c r="O109" s="64"/>
      <c r="P109" s="64"/>
      <c r="Q109" s="64"/>
      <c r="R109" s="64"/>
      <c r="S109" s="246"/>
      <c r="T109" s="246"/>
      <c r="U109" s="246"/>
    </row>
    <row r="110" spans="1:149">
      <c r="A110" s="291"/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64"/>
      <c r="M110" s="461"/>
      <c r="N110" s="64"/>
      <c r="O110" s="64"/>
      <c r="P110" s="64"/>
      <c r="Q110" s="64"/>
      <c r="R110" s="64"/>
      <c r="S110" s="246"/>
      <c r="T110" s="246"/>
      <c r="U110" s="246"/>
    </row>
    <row r="111" spans="1:149">
      <c r="A111" s="291"/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64"/>
      <c r="M111" s="461"/>
      <c r="N111" s="64"/>
      <c r="O111" s="64"/>
      <c r="P111" s="64"/>
      <c r="Q111" s="64"/>
      <c r="R111" s="64"/>
      <c r="S111" s="246"/>
      <c r="T111" s="246"/>
      <c r="U111" s="246"/>
    </row>
    <row r="112" spans="1:149">
      <c r="A112" s="291"/>
      <c r="B112" s="138"/>
      <c r="C112" s="138"/>
      <c r="D112" s="138"/>
      <c r="E112" s="138"/>
      <c r="F112" s="138"/>
      <c r="G112" s="138"/>
      <c r="H112" s="138"/>
      <c r="I112" s="138"/>
      <c r="J112" s="138"/>
      <c r="K112" s="138"/>
      <c r="L112" s="64"/>
      <c r="M112" s="461"/>
      <c r="N112" s="64"/>
      <c r="O112" s="64"/>
      <c r="P112" s="64"/>
      <c r="Q112" s="64"/>
      <c r="R112" s="64"/>
      <c r="S112" s="246"/>
      <c r="T112" s="246"/>
      <c r="U112" s="246"/>
    </row>
    <row r="113" spans="1:21">
      <c r="A113" s="291"/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64"/>
      <c r="M113" s="461"/>
      <c r="N113" s="64"/>
      <c r="O113" s="64"/>
      <c r="P113" s="64"/>
      <c r="Q113" s="64"/>
      <c r="R113" s="64"/>
      <c r="S113" s="246"/>
      <c r="T113" s="246"/>
      <c r="U113" s="246"/>
    </row>
    <row r="114" spans="1:21">
      <c r="A114" s="291"/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  <c r="L114" s="64"/>
      <c r="M114" s="461"/>
      <c r="N114" s="64"/>
      <c r="O114" s="64"/>
      <c r="P114" s="64"/>
      <c r="Q114" s="64"/>
      <c r="R114" s="64"/>
      <c r="S114" s="246"/>
      <c r="T114" s="246"/>
      <c r="U114" s="246"/>
    </row>
    <row r="115" spans="1:21">
      <c r="A115" s="106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S115" s="246"/>
      <c r="T115" s="246"/>
      <c r="U115" s="246"/>
    </row>
    <row r="116" spans="1:21">
      <c r="A116" s="106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S116" s="246"/>
      <c r="T116" s="246"/>
      <c r="U116" s="246"/>
    </row>
    <row r="117" spans="1:21">
      <c r="A117" s="106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S117" s="246"/>
      <c r="T117" s="246"/>
      <c r="U117" s="246"/>
    </row>
    <row r="118" spans="1:21">
      <c r="A118" s="106"/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S118" s="246"/>
      <c r="T118" s="246"/>
      <c r="U118" s="246"/>
    </row>
    <row r="119" spans="1:21">
      <c r="A119" s="106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S119" s="246"/>
      <c r="T119" s="246"/>
      <c r="U119" s="246"/>
    </row>
    <row r="120" spans="1:21">
      <c r="A120" s="106"/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S120" s="246"/>
      <c r="T120" s="246"/>
      <c r="U120" s="246"/>
    </row>
    <row r="121" spans="1:21">
      <c r="A121" s="106"/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S121" s="246"/>
      <c r="T121" s="246"/>
      <c r="U121" s="246"/>
    </row>
    <row r="122" spans="1:21">
      <c r="A122" s="106"/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S122" s="246"/>
      <c r="T122" s="246"/>
      <c r="U122" s="246"/>
    </row>
    <row r="123" spans="1:21">
      <c r="A123" s="106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S123" s="246"/>
      <c r="T123" s="246"/>
      <c r="U123" s="246"/>
    </row>
    <row r="124" spans="1:21">
      <c r="A124" s="106"/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S124" s="246"/>
      <c r="T124" s="246"/>
      <c r="U124" s="246"/>
    </row>
    <row r="125" spans="1:21">
      <c r="A125" s="106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S125" s="246"/>
      <c r="T125" s="246"/>
      <c r="U125" s="246"/>
    </row>
    <row r="126" spans="1:21">
      <c r="A126" s="106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S126" s="246"/>
      <c r="T126" s="246"/>
      <c r="U126" s="246"/>
    </row>
    <row r="127" spans="1:21">
      <c r="A127" s="106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S127" s="246"/>
      <c r="T127" s="246"/>
      <c r="U127" s="246"/>
    </row>
    <row r="128" spans="1:21">
      <c r="A128" s="106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S128" s="246"/>
      <c r="T128" s="246"/>
      <c r="U128" s="246"/>
    </row>
    <row r="129" spans="1:11">
      <c r="A129" s="106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</row>
    <row r="130" spans="1:11">
      <c r="A130" s="106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</row>
    <row r="131" spans="1:11">
      <c r="A131" s="106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</row>
    <row r="132" spans="1:11">
      <c r="A132" s="106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</row>
    <row r="133" spans="1:11">
      <c r="A133" s="106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</row>
    <row r="134" spans="1:11">
      <c r="A134" s="106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</row>
    <row r="135" spans="1:11">
      <c r="A135" s="106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</row>
    <row r="136" spans="1:11">
      <c r="A136" s="106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</row>
    <row r="137" spans="1:11">
      <c r="A137" s="106"/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</row>
    <row r="138" spans="1:11">
      <c r="A138" s="106"/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</row>
    <row r="139" spans="1:11">
      <c r="A139" s="106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</row>
    <row r="140" spans="1:11">
      <c r="A140" s="106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</row>
    <row r="141" spans="1:11">
      <c r="A141" s="106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</row>
    <row r="142" spans="1:11">
      <c r="A142" s="106"/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</row>
    <row r="143" spans="1:11">
      <c r="A143" s="106"/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</row>
    <row r="144" spans="1:11">
      <c r="A144" s="106"/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</row>
    <row r="145" spans="1:11">
      <c r="A145" s="106"/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</row>
    <row r="146" spans="1:11">
      <c r="A146" s="106"/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</row>
    <row r="147" spans="1:11">
      <c r="A147" s="106"/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</row>
    <row r="148" spans="1:11">
      <c r="A148" s="106"/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</row>
    <row r="149" spans="1:11">
      <c r="A149" s="106"/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</row>
    <row r="150" spans="1:11">
      <c r="A150" s="106"/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</row>
    <row r="151" spans="1:11">
      <c r="A151" s="106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</row>
    <row r="152" spans="1:11">
      <c r="A152" s="106"/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</row>
    <row r="153" spans="1:11">
      <c r="A153" s="106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</row>
    <row r="154" spans="1:11">
      <c r="A154" s="106"/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</row>
    <row r="155" spans="1:11">
      <c r="A155" s="106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</row>
    <row r="156" spans="1:11">
      <c r="A156" s="106"/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</row>
    <row r="157" spans="1:11">
      <c r="A157" s="106"/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</row>
    <row r="158" spans="1:11">
      <c r="A158" s="106"/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</row>
    <row r="159" spans="1:11">
      <c r="A159" s="106"/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</row>
    <row r="160" spans="1:11">
      <c r="A160" s="106"/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</row>
    <row r="161" spans="1:11">
      <c r="A161" s="106"/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</row>
    <row r="162" spans="1:11">
      <c r="A162" s="106"/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</row>
    <row r="163" spans="1:11">
      <c r="A163" s="106"/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</row>
    <row r="164" spans="1:11">
      <c r="A164" s="106"/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</row>
    <row r="165" spans="1:11">
      <c r="A165" s="106"/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</row>
    <row r="166" spans="1:11">
      <c r="A166" s="106"/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</row>
    <row r="167" spans="1:11">
      <c r="A167" s="106"/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</row>
    <row r="168" spans="1:11">
      <c r="A168" s="106"/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</row>
    <row r="169" spans="1:11">
      <c r="A169" s="106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</row>
    <row r="170" spans="1:11">
      <c r="A170" s="106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</row>
    <row r="171" spans="1:11">
      <c r="A171" s="106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</row>
    <row r="172" spans="1:11">
      <c r="A172" s="106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</row>
    <row r="173" spans="1:11">
      <c r="A173" s="106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</row>
    <row r="174" spans="1:11">
      <c r="A174" s="106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</row>
    <row r="175" spans="1:11">
      <c r="A175" s="106"/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</row>
    <row r="176" spans="1:11">
      <c r="A176" s="106"/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</row>
    <row r="177" spans="1:25">
      <c r="A177" s="106"/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</row>
    <row r="178" spans="1:25">
      <c r="A178" s="106"/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</row>
    <row r="179" spans="1:25">
      <c r="A179" s="106"/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</row>
    <row r="180" spans="1:25">
      <c r="A180" s="106"/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</row>
    <row r="181" spans="1:25">
      <c r="A181" s="106"/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</row>
    <row r="182" spans="1:25">
      <c r="A182" s="106"/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</row>
    <row r="183" spans="1:25">
      <c r="A183" s="106"/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</row>
    <row r="184" spans="1:25">
      <c r="A184" s="106"/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</row>
    <row r="185" spans="1:25">
      <c r="A185" s="106"/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Y185" s="168"/>
    </row>
    <row r="186" spans="1:25">
      <c r="A186" s="106"/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</row>
    <row r="187" spans="1:25">
      <c r="A187" s="106"/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</row>
    <row r="188" spans="1:25">
      <c r="A188" s="106"/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</row>
    <row r="189" spans="1:25">
      <c r="A189" s="106"/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</row>
    <row r="190" spans="1:25">
      <c r="A190" s="106"/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</row>
    <row r="191" spans="1:25">
      <c r="A191" s="106"/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</row>
    <row r="192" spans="1:25">
      <c r="A192" s="106"/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</row>
    <row r="193" spans="1:25">
      <c r="A193" s="106"/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</row>
    <row r="194" spans="1:25">
      <c r="A194" s="106"/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</row>
    <row r="195" spans="1:25">
      <c r="A195" s="106"/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Y195" s="168"/>
    </row>
    <row r="196" spans="1:25">
      <c r="A196" s="106"/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</row>
    <row r="197" spans="1:25">
      <c r="A197" s="106"/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</row>
    <row r="198" spans="1:25">
      <c r="A198" s="106"/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</row>
    <row r="199" spans="1:25">
      <c r="A199" s="106"/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</row>
    <row r="200" spans="1:25">
      <c r="A200" s="106"/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</row>
    <row r="201" spans="1:25">
      <c r="A201" s="106"/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</row>
    <row r="202" spans="1:25">
      <c r="A202" s="106"/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</row>
    <row r="203" spans="1:25">
      <c r="A203" s="106"/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</row>
    <row r="204" spans="1:25">
      <c r="A204" s="106"/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</row>
    <row r="205" spans="1:25">
      <c r="A205" s="106"/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</row>
    <row r="206" spans="1:25">
      <c r="A206" s="106"/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</row>
    <row r="207" spans="1:25">
      <c r="A207" s="106"/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</row>
    <row r="208" spans="1:25">
      <c r="A208" s="106"/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</row>
    <row r="209" spans="1:25">
      <c r="A209" s="106"/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</row>
    <row r="210" spans="1:25">
      <c r="A210" s="106"/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</row>
    <row r="211" spans="1:25">
      <c r="A211" s="106"/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Y211" s="168"/>
    </row>
    <row r="212" spans="1:25">
      <c r="A212" s="106"/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</row>
    <row r="213" spans="1:25">
      <c r="A213" s="106"/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</row>
    <row r="214" spans="1:25">
      <c r="A214" s="106"/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</row>
    <row r="215" spans="1:25">
      <c r="A215" s="106"/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</row>
    <row r="216" spans="1:25">
      <c r="A216" s="106"/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</row>
    <row r="217" spans="1:25">
      <c r="A217" s="106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</row>
    <row r="218" spans="1:25">
      <c r="A218" s="106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</row>
    <row r="219" spans="1:25">
      <c r="A219" s="106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</row>
    <row r="220" spans="1:25">
      <c r="A220" s="106"/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</row>
    <row r="221" spans="1:25">
      <c r="A221" s="106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</row>
    <row r="222" spans="1:25">
      <c r="A222" s="106"/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</row>
    <row r="223" spans="1:25">
      <c r="A223" s="106"/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</row>
    <row r="224" spans="1:25">
      <c r="A224" s="106"/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</row>
    <row r="225" spans="1:29">
      <c r="A225" s="106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</row>
    <row r="226" spans="1:29">
      <c r="A226" s="106"/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</row>
    <row r="227" spans="1:29">
      <c r="A227" s="106"/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W227" s="168"/>
      <c r="X227" s="168"/>
      <c r="Y227" s="168"/>
      <c r="AC227" s="168"/>
    </row>
    <row r="228" spans="1:29">
      <c r="A228" s="106"/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</row>
    <row r="229" spans="1:29">
      <c r="A229" s="106"/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</row>
    <row r="230" spans="1:29">
      <c r="A230" s="106"/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</row>
    <row r="231" spans="1:29">
      <c r="A231" s="106"/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</row>
    <row r="232" spans="1:29">
      <c r="A232" s="106"/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</row>
    <row r="233" spans="1:29">
      <c r="A233" s="106"/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</row>
    <row r="234" spans="1:29">
      <c r="A234" s="106"/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</row>
    <row r="235" spans="1:29">
      <c r="A235" s="106"/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</row>
    <row r="236" spans="1:29">
      <c r="A236" s="106"/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</row>
    <row r="237" spans="1:29">
      <c r="A237" s="106"/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</row>
    <row r="238" spans="1:29">
      <c r="A238" s="106"/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</row>
    <row r="239" spans="1:29">
      <c r="A239" s="106"/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</row>
    <row r="240" spans="1:29">
      <c r="A240" s="106"/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</row>
    <row r="241" spans="1:11">
      <c r="A241" s="106"/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</row>
    <row r="242" spans="1:11">
      <c r="A242" s="106"/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</row>
    <row r="243" spans="1:11">
      <c r="A243" s="106"/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</row>
    <row r="244" spans="1:11">
      <c r="A244" s="106"/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</row>
    <row r="245" spans="1:11">
      <c r="A245" s="106"/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</row>
    <row r="246" spans="1:11">
      <c r="A246" s="106"/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</row>
    <row r="247" spans="1:11">
      <c r="A247" s="106"/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</row>
    <row r="248" spans="1:11">
      <c r="A248" s="106"/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</row>
    <row r="249" spans="1:11">
      <c r="A249" s="106"/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</row>
    <row r="250" spans="1:11">
      <c r="A250" s="106"/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</row>
    <row r="251" spans="1:11">
      <c r="A251" s="106"/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</row>
    <row r="252" spans="1:11">
      <c r="A252" s="106"/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</row>
    <row r="253" spans="1:11">
      <c r="A253" s="106"/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</row>
    <row r="254" spans="1:11">
      <c r="A254" s="106"/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</row>
    <row r="255" spans="1:11">
      <c r="A255" s="106"/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</row>
    <row r="256" spans="1:11">
      <c r="A256" s="106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</row>
    <row r="257" spans="1:11">
      <c r="A257" s="106"/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</row>
    <row r="258" spans="1:11">
      <c r="A258" s="106"/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</row>
    <row r="259" spans="1:11">
      <c r="A259" s="106"/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</row>
    <row r="260" spans="1:11">
      <c r="A260" s="106"/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</row>
    <row r="261" spans="1:11">
      <c r="A261" s="106"/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</row>
    <row r="262" spans="1:11">
      <c r="A262" s="106"/>
      <c r="B262" s="107"/>
      <c r="C262" s="107"/>
      <c r="D262" s="107"/>
      <c r="E262" s="107"/>
      <c r="F262" s="107"/>
      <c r="G262" s="107"/>
      <c r="H262" s="107"/>
      <c r="I262" s="107"/>
      <c r="J262" s="107"/>
      <c r="K262" s="107"/>
    </row>
    <row r="263" spans="1:11">
      <c r="A263" s="106"/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</row>
    <row r="264" spans="1:11">
      <c r="A264" s="106"/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</row>
    <row r="265" spans="1:11">
      <c r="A265" s="106"/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</row>
    <row r="266" spans="1:11">
      <c r="A266" s="106"/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</row>
    <row r="267" spans="1:11">
      <c r="A267" s="106"/>
      <c r="B267" s="107"/>
      <c r="C267" s="107"/>
      <c r="D267" s="107"/>
      <c r="E267" s="107"/>
      <c r="F267" s="107"/>
      <c r="G267" s="107"/>
      <c r="H267" s="107"/>
      <c r="I267" s="107"/>
      <c r="J267" s="107"/>
      <c r="K267" s="107"/>
    </row>
    <row r="268" spans="1:11">
      <c r="A268" s="106"/>
      <c r="B268" s="107"/>
      <c r="C268" s="107"/>
      <c r="D268" s="107"/>
      <c r="E268" s="107"/>
      <c r="F268" s="107"/>
      <c r="G268" s="107"/>
      <c r="H268" s="107"/>
      <c r="I268" s="107"/>
      <c r="J268" s="107"/>
      <c r="K268" s="107"/>
    </row>
    <row r="269" spans="1:11">
      <c r="A269" s="106"/>
      <c r="B269" s="107"/>
      <c r="C269" s="107"/>
      <c r="D269" s="107"/>
      <c r="E269" s="107"/>
      <c r="F269" s="107"/>
      <c r="G269" s="107"/>
      <c r="H269" s="107"/>
      <c r="I269" s="107"/>
      <c r="J269" s="107"/>
      <c r="K269" s="107"/>
    </row>
    <row r="270" spans="1:11">
      <c r="A270" s="106"/>
      <c r="B270" s="107"/>
      <c r="C270" s="107"/>
      <c r="D270" s="107"/>
      <c r="E270" s="107"/>
      <c r="F270" s="107"/>
      <c r="G270" s="107"/>
      <c r="H270" s="107"/>
      <c r="I270" s="107"/>
      <c r="J270" s="107"/>
      <c r="K270" s="107"/>
    </row>
    <row r="271" spans="1:11">
      <c r="A271" s="106"/>
      <c r="B271" s="107"/>
      <c r="C271" s="107"/>
      <c r="D271" s="107"/>
      <c r="E271" s="107"/>
      <c r="F271" s="107"/>
      <c r="G271" s="107"/>
      <c r="H271" s="107"/>
      <c r="I271" s="107"/>
      <c r="J271" s="107"/>
      <c r="K271" s="107"/>
    </row>
    <row r="272" spans="1:11">
      <c r="A272" s="106"/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</row>
    <row r="273" spans="1:11">
      <c r="A273" s="106"/>
      <c r="B273" s="107"/>
      <c r="C273" s="107"/>
      <c r="D273" s="107"/>
      <c r="E273" s="107"/>
      <c r="F273" s="107"/>
      <c r="G273" s="107"/>
      <c r="H273" s="107"/>
      <c r="I273" s="107"/>
      <c r="J273" s="107"/>
      <c r="K273" s="107"/>
    </row>
    <row r="274" spans="1:11">
      <c r="A274" s="106"/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</row>
    <row r="275" spans="1:11">
      <c r="A275" s="106"/>
      <c r="B275" s="107"/>
      <c r="C275" s="107"/>
      <c r="D275" s="107"/>
      <c r="E275" s="107"/>
      <c r="F275" s="107"/>
      <c r="G275" s="107"/>
      <c r="H275" s="107"/>
      <c r="I275" s="107"/>
      <c r="J275" s="107"/>
      <c r="K275" s="107"/>
    </row>
    <row r="276" spans="1:11">
      <c r="A276" s="106"/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</row>
    <row r="277" spans="1:11">
      <c r="A277" s="106"/>
      <c r="B277" s="107"/>
      <c r="C277" s="107"/>
      <c r="D277" s="107"/>
      <c r="E277" s="107"/>
      <c r="F277" s="107"/>
      <c r="G277" s="107"/>
      <c r="H277" s="107"/>
      <c r="I277" s="107"/>
      <c r="J277" s="107"/>
      <c r="K277" s="107"/>
    </row>
    <row r="278" spans="1:11">
      <c r="A278" s="106"/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</row>
    <row r="279" spans="1:11">
      <c r="A279" s="106"/>
      <c r="B279" s="107"/>
      <c r="C279" s="107"/>
      <c r="D279" s="107"/>
      <c r="E279" s="107"/>
      <c r="F279" s="107"/>
      <c r="G279" s="107"/>
      <c r="H279" s="107"/>
      <c r="I279" s="107"/>
      <c r="J279" s="107"/>
      <c r="K279" s="107"/>
    </row>
    <row r="280" spans="1:11">
      <c r="A280" s="106"/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</row>
    <row r="281" spans="1:11">
      <c r="A281" s="106"/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</row>
    <row r="282" spans="1:11">
      <c r="A282" s="106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</row>
    <row r="283" spans="1:11">
      <c r="A283" s="106"/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</row>
    <row r="284" spans="1:11">
      <c r="A284" s="106"/>
      <c r="B284" s="107"/>
      <c r="C284" s="107"/>
      <c r="D284" s="107"/>
      <c r="E284" s="107"/>
      <c r="F284" s="107"/>
      <c r="G284" s="107"/>
      <c r="H284" s="107"/>
      <c r="I284" s="107"/>
      <c r="J284" s="107"/>
      <c r="K284" s="107"/>
    </row>
    <row r="285" spans="1:11">
      <c r="A285" s="106"/>
      <c r="B285" s="107"/>
      <c r="C285" s="107"/>
      <c r="D285" s="107"/>
      <c r="E285" s="107"/>
      <c r="F285" s="107"/>
      <c r="G285" s="107"/>
      <c r="H285" s="107"/>
      <c r="I285" s="107"/>
      <c r="J285" s="107"/>
      <c r="K285" s="107"/>
    </row>
    <row r="286" spans="1:11">
      <c r="A286" s="106"/>
      <c r="B286" s="107"/>
      <c r="C286" s="107"/>
      <c r="D286" s="107"/>
      <c r="E286" s="107"/>
      <c r="F286" s="107"/>
      <c r="G286" s="107"/>
      <c r="H286" s="107"/>
      <c r="I286" s="107"/>
      <c r="J286" s="107"/>
      <c r="K286" s="107"/>
    </row>
    <row r="287" spans="1:11">
      <c r="A287" s="106"/>
      <c r="B287" s="107"/>
      <c r="C287" s="107"/>
      <c r="D287" s="107"/>
      <c r="E287" s="107"/>
      <c r="F287" s="107"/>
      <c r="G287" s="107"/>
      <c r="H287" s="107"/>
      <c r="I287" s="107"/>
      <c r="J287" s="107"/>
      <c r="K287" s="107"/>
    </row>
    <row r="288" spans="1:11">
      <c r="A288" s="106"/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</row>
    <row r="289" spans="1:11">
      <c r="A289" s="106"/>
      <c r="B289" s="107"/>
      <c r="C289" s="107"/>
      <c r="D289" s="107"/>
      <c r="E289" s="107"/>
      <c r="F289" s="107"/>
      <c r="G289" s="107"/>
      <c r="H289" s="107"/>
      <c r="I289" s="107"/>
      <c r="J289" s="107"/>
      <c r="K289" s="107"/>
    </row>
    <row r="290" spans="1:11">
      <c r="A290" s="106"/>
      <c r="B290" s="107"/>
      <c r="C290" s="107"/>
      <c r="D290" s="107"/>
      <c r="E290" s="107"/>
      <c r="F290" s="107"/>
      <c r="G290" s="107"/>
      <c r="H290" s="107"/>
      <c r="I290" s="107"/>
      <c r="J290" s="107"/>
      <c r="K290" s="107"/>
    </row>
    <row r="291" spans="1:11">
      <c r="A291" s="106"/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</row>
    <row r="292" spans="1:11">
      <c r="A292" s="106"/>
      <c r="B292" s="107"/>
      <c r="C292" s="107"/>
      <c r="D292" s="107"/>
      <c r="E292" s="107"/>
      <c r="F292" s="107"/>
      <c r="G292" s="107"/>
      <c r="H292" s="107"/>
      <c r="I292" s="107"/>
      <c r="J292" s="107"/>
      <c r="K292" s="107"/>
    </row>
    <row r="293" spans="1:11">
      <c r="A293" s="106"/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</row>
    <row r="294" spans="1:11">
      <c r="A294" s="106"/>
      <c r="B294" s="107"/>
      <c r="C294" s="107"/>
      <c r="D294" s="107"/>
      <c r="E294" s="107"/>
      <c r="F294" s="107"/>
      <c r="G294" s="107"/>
      <c r="H294" s="107"/>
      <c r="I294" s="107"/>
      <c r="J294" s="107"/>
      <c r="K294" s="107"/>
    </row>
    <row r="295" spans="1:11">
      <c r="A295" s="106"/>
      <c r="B295" s="107"/>
      <c r="C295" s="107"/>
      <c r="D295" s="107"/>
      <c r="E295" s="107"/>
      <c r="F295" s="107"/>
      <c r="G295" s="107"/>
      <c r="H295" s="107"/>
      <c r="I295" s="107"/>
      <c r="J295" s="107"/>
      <c r="K295" s="107"/>
    </row>
    <row r="296" spans="1:11">
      <c r="A296" s="106"/>
      <c r="B296" s="107"/>
      <c r="C296" s="107"/>
      <c r="D296" s="107"/>
      <c r="E296" s="107"/>
      <c r="F296" s="107"/>
      <c r="G296" s="107"/>
      <c r="H296" s="107"/>
      <c r="I296" s="107"/>
      <c r="J296" s="107"/>
      <c r="K296" s="107"/>
    </row>
    <row r="297" spans="1:11">
      <c r="A297" s="106"/>
      <c r="B297" s="107"/>
      <c r="C297" s="107"/>
      <c r="D297" s="107"/>
      <c r="E297" s="107"/>
      <c r="F297" s="107"/>
      <c r="G297" s="107"/>
      <c r="H297" s="107"/>
      <c r="I297" s="107"/>
      <c r="J297" s="107"/>
      <c r="K297" s="107"/>
    </row>
    <row r="298" spans="1:11">
      <c r="A298" s="106"/>
      <c r="B298" s="107"/>
      <c r="C298" s="107"/>
      <c r="D298" s="107"/>
      <c r="E298" s="107"/>
      <c r="F298" s="107"/>
      <c r="G298" s="107"/>
      <c r="H298" s="107"/>
      <c r="I298" s="107"/>
      <c r="J298" s="107"/>
      <c r="K298" s="107"/>
    </row>
    <row r="299" spans="1:11">
      <c r="A299" s="106"/>
      <c r="B299" s="107"/>
      <c r="C299" s="107"/>
      <c r="D299" s="107"/>
      <c r="E299" s="107"/>
      <c r="F299" s="107"/>
      <c r="G299" s="107"/>
      <c r="H299" s="107"/>
      <c r="I299" s="107"/>
      <c r="J299" s="107"/>
      <c r="K299" s="107"/>
    </row>
    <row r="300" spans="1:11">
      <c r="A300" s="106"/>
      <c r="B300" s="107"/>
      <c r="C300" s="107"/>
      <c r="D300" s="107"/>
      <c r="E300" s="107"/>
      <c r="F300" s="107"/>
      <c r="G300" s="107"/>
      <c r="H300" s="107"/>
      <c r="I300" s="107"/>
      <c r="J300" s="107"/>
      <c r="K300" s="107"/>
    </row>
    <row r="301" spans="1:11">
      <c r="A301" s="106"/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</row>
    <row r="302" spans="1:11">
      <c r="A302" s="106"/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</row>
    <row r="303" spans="1:11">
      <c r="A303" s="106"/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</row>
    <row r="304" spans="1:11">
      <c r="A304" s="106"/>
      <c r="B304" s="107"/>
      <c r="C304" s="107"/>
      <c r="D304" s="107"/>
      <c r="E304" s="107"/>
      <c r="F304" s="107"/>
      <c r="G304" s="107"/>
      <c r="H304" s="107"/>
      <c r="I304" s="107"/>
      <c r="J304" s="107"/>
      <c r="K304" s="107"/>
    </row>
    <row r="305" spans="1:11">
      <c r="A305" s="106"/>
      <c r="B305" s="107"/>
      <c r="C305" s="107"/>
      <c r="D305" s="107"/>
      <c r="E305" s="107"/>
      <c r="F305" s="107"/>
      <c r="G305" s="107"/>
      <c r="H305" s="107"/>
      <c r="I305" s="107"/>
      <c r="J305" s="107"/>
      <c r="K305" s="107"/>
    </row>
    <row r="306" spans="1:11">
      <c r="A306" s="106"/>
      <c r="B306" s="107"/>
      <c r="C306" s="107"/>
      <c r="D306" s="107"/>
      <c r="E306" s="107"/>
      <c r="F306" s="107"/>
      <c r="G306" s="107"/>
      <c r="H306" s="107"/>
      <c r="I306" s="107"/>
      <c r="J306" s="107"/>
      <c r="K306" s="107"/>
    </row>
    <row r="307" spans="1:11">
      <c r="A307" s="106"/>
      <c r="B307" s="107"/>
      <c r="C307" s="107"/>
      <c r="D307" s="107"/>
      <c r="E307" s="107"/>
      <c r="F307" s="107"/>
      <c r="G307" s="107"/>
      <c r="H307" s="107"/>
      <c r="I307" s="107"/>
      <c r="J307" s="107"/>
      <c r="K307" s="107"/>
    </row>
    <row r="308" spans="1:11">
      <c r="A308" s="106"/>
      <c r="B308" s="107"/>
      <c r="C308" s="107"/>
      <c r="D308" s="107"/>
      <c r="E308" s="107"/>
      <c r="F308" s="107"/>
      <c r="G308" s="107"/>
      <c r="H308" s="107"/>
      <c r="I308" s="107"/>
      <c r="J308" s="107"/>
      <c r="K308" s="107"/>
    </row>
    <row r="309" spans="1:11">
      <c r="A309" s="106"/>
      <c r="B309" s="107"/>
      <c r="C309" s="107"/>
      <c r="D309" s="107"/>
      <c r="E309" s="107"/>
      <c r="F309" s="107"/>
      <c r="G309" s="107"/>
      <c r="H309" s="107"/>
      <c r="I309" s="107"/>
      <c r="J309" s="107"/>
      <c r="K309" s="107"/>
    </row>
    <row r="310" spans="1:11">
      <c r="A310" s="106"/>
      <c r="B310" s="107"/>
      <c r="C310" s="107"/>
      <c r="D310" s="107"/>
      <c r="E310" s="107"/>
      <c r="F310" s="107"/>
      <c r="G310" s="107"/>
      <c r="H310" s="107"/>
      <c r="I310" s="107"/>
      <c r="J310" s="107"/>
      <c r="K310" s="107"/>
    </row>
    <row r="311" spans="1:11">
      <c r="A311" s="106"/>
      <c r="B311" s="107"/>
      <c r="C311" s="107"/>
      <c r="D311" s="107"/>
      <c r="E311" s="107"/>
      <c r="F311" s="107"/>
      <c r="G311" s="107"/>
      <c r="H311" s="107"/>
      <c r="I311" s="107"/>
      <c r="J311" s="107"/>
      <c r="K311" s="107"/>
    </row>
    <row r="312" spans="1:11">
      <c r="A312" s="106"/>
      <c r="B312" s="107"/>
      <c r="C312" s="107"/>
      <c r="D312" s="107"/>
      <c r="E312" s="107"/>
      <c r="F312" s="107"/>
      <c r="G312" s="107"/>
      <c r="H312" s="107"/>
      <c r="I312" s="107"/>
      <c r="J312" s="107"/>
      <c r="K312" s="107"/>
    </row>
    <row r="313" spans="1:11">
      <c r="A313" s="106"/>
      <c r="B313" s="107"/>
      <c r="C313" s="107"/>
      <c r="D313" s="107"/>
      <c r="E313" s="107"/>
      <c r="F313" s="107"/>
      <c r="G313" s="107"/>
      <c r="H313" s="107"/>
      <c r="I313" s="107"/>
      <c r="J313" s="107"/>
      <c r="K313" s="107"/>
    </row>
    <row r="314" spans="1:11">
      <c r="A314" s="106"/>
      <c r="B314" s="107"/>
      <c r="C314" s="107"/>
      <c r="D314" s="107"/>
      <c r="E314" s="107"/>
      <c r="F314" s="107"/>
      <c r="G314" s="107"/>
      <c r="H314" s="107"/>
      <c r="I314" s="107"/>
      <c r="J314" s="107"/>
      <c r="K314" s="107"/>
    </row>
    <row r="315" spans="1:11">
      <c r="A315" s="106"/>
      <c r="B315" s="107"/>
      <c r="C315" s="107"/>
      <c r="D315" s="107"/>
      <c r="E315" s="107"/>
      <c r="F315" s="107"/>
      <c r="G315" s="107"/>
      <c r="H315" s="107"/>
      <c r="I315" s="107"/>
      <c r="J315" s="107"/>
      <c r="K315" s="107"/>
    </row>
    <row r="316" spans="1:11">
      <c r="A316" s="106"/>
      <c r="B316" s="107"/>
      <c r="C316" s="107"/>
      <c r="D316" s="107"/>
      <c r="E316" s="107"/>
      <c r="F316" s="107"/>
      <c r="G316" s="107"/>
      <c r="H316" s="107"/>
      <c r="I316" s="107"/>
      <c r="J316" s="107"/>
      <c r="K316" s="107"/>
    </row>
    <row r="317" spans="1:11">
      <c r="A317" s="106"/>
      <c r="B317" s="107"/>
      <c r="C317" s="107"/>
      <c r="D317" s="107"/>
      <c r="E317" s="107"/>
      <c r="F317" s="107"/>
      <c r="G317" s="107"/>
      <c r="H317" s="107"/>
      <c r="I317" s="107"/>
      <c r="J317" s="107"/>
      <c r="K317" s="107"/>
    </row>
    <row r="318" spans="1:11">
      <c r="A318" s="106"/>
      <c r="B318" s="107"/>
      <c r="C318" s="107"/>
      <c r="D318" s="107"/>
      <c r="E318" s="107"/>
      <c r="F318" s="107"/>
      <c r="G318" s="107"/>
      <c r="H318" s="107"/>
      <c r="I318" s="107"/>
      <c r="J318" s="107"/>
      <c r="K318" s="107"/>
    </row>
    <row r="319" spans="1:11">
      <c r="A319" s="106"/>
      <c r="B319" s="107"/>
      <c r="C319" s="107"/>
      <c r="D319" s="107"/>
      <c r="E319" s="107"/>
      <c r="F319" s="107"/>
      <c r="G319" s="107"/>
      <c r="H319" s="107"/>
      <c r="I319" s="107"/>
      <c r="J319" s="107"/>
      <c r="K319" s="107"/>
    </row>
    <row r="320" spans="1:11">
      <c r="A320" s="106"/>
      <c r="B320" s="107"/>
      <c r="C320" s="107"/>
      <c r="D320" s="107"/>
      <c r="E320" s="107"/>
      <c r="F320" s="107"/>
      <c r="G320" s="107"/>
      <c r="H320" s="107"/>
      <c r="I320" s="107"/>
      <c r="J320" s="107"/>
      <c r="K320" s="107"/>
    </row>
    <row r="321" spans="1:11">
      <c r="A321" s="106"/>
      <c r="B321" s="107"/>
      <c r="C321" s="107"/>
      <c r="D321" s="107"/>
      <c r="E321" s="107"/>
      <c r="F321" s="107"/>
      <c r="G321" s="107"/>
      <c r="H321" s="107"/>
      <c r="I321" s="107"/>
      <c r="J321" s="107"/>
      <c r="K321" s="107"/>
    </row>
    <row r="322" spans="1:11">
      <c r="A322" s="106"/>
      <c r="B322" s="107"/>
      <c r="C322" s="107"/>
      <c r="D322" s="107"/>
      <c r="E322" s="107"/>
      <c r="F322" s="107"/>
      <c r="G322" s="107"/>
      <c r="H322" s="107"/>
      <c r="I322" s="107"/>
      <c r="J322" s="107"/>
      <c r="K322" s="107"/>
    </row>
    <row r="323" spans="1:11">
      <c r="A323" s="106"/>
      <c r="B323" s="107"/>
      <c r="C323" s="107"/>
      <c r="D323" s="107"/>
      <c r="E323" s="107"/>
      <c r="F323" s="107"/>
      <c r="G323" s="107"/>
      <c r="H323" s="107"/>
      <c r="I323" s="107"/>
      <c r="J323" s="107"/>
      <c r="K323" s="107"/>
    </row>
    <row r="324" spans="1:11">
      <c r="A324" s="106"/>
      <c r="B324" s="107"/>
      <c r="C324" s="107"/>
      <c r="D324" s="107"/>
      <c r="E324" s="107"/>
      <c r="F324" s="107"/>
      <c r="G324" s="107"/>
      <c r="H324" s="107"/>
      <c r="I324" s="107"/>
      <c r="J324" s="107"/>
      <c r="K324" s="107"/>
    </row>
    <row r="325" spans="1:11">
      <c r="A325" s="106"/>
      <c r="B325" s="107"/>
      <c r="C325" s="107"/>
      <c r="D325" s="107"/>
      <c r="E325" s="107"/>
      <c r="F325" s="107"/>
      <c r="G325" s="107"/>
      <c r="H325" s="107"/>
      <c r="I325" s="107"/>
      <c r="J325" s="107"/>
      <c r="K325" s="107"/>
    </row>
    <row r="326" spans="1:11">
      <c r="A326" s="106"/>
      <c r="B326" s="107"/>
      <c r="C326" s="107"/>
      <c r="D326" s="107"/>
      <c r="E326" s="107"/>
      <c r="F326" s="107"/>
      <c r="G326" s="107"/>
      <c r="H326" s="107"/>
      <c r="I326" s="107"/>
      <c r="J326" s="107"/>
      <c r="K326" s="107"/>
    </row>
    <row r="327" spans="1:11">
      <c r="A327" s="106"/>
      <c r="B327" s="107"/>
      <c r="C327" s="107"/>
      <c r="D327" s="107"/>
      <c r="E327" s="107"/>
      <c r="F327" s="107"/>
      <c r="G327" s="107"/>
      <c r="H327" s="107"/>
      <c r="I327" s="107"/>
      <c r="J327" s="107"/>
      <c r="K327" s="107"/>
    </row>
    <row r="328" spans="1:11">
      <c r="A328" s="106"/>
      <c r="B328" s="107"/>
      <c r="C328" s="107"/>
      <c r="D328" s="107"/>
      <c r="E328" s="107"/>
      <c r="F328" s="107"/>
      <c r="G328" s="107"/>
      <c r="H328" s="107"/>
      <c r="I328" s="107"/>
      <c r="J328" s="107"/>
      <c r="K328" s="107"/>
    </row>
    <row r="329" spans="1:11">
      <c r="A329" s="106"/>
      <c r="B329" s="107"/>
      <c r="C329" s="107"/>
      <c r="D329" s="107"/>
      <c r="E329" s="107"/>
      <c r="F329" s="107"/>
      <c r="G329" s="107"/>
      <c r="H329" s="107"/>
      <c r="I329" s="107"/>
      <c r="J329" s="107"/>
      <c r="K329" s="107"/>
    </row>
    <row r="330" spans="1:11">
      <c r="A330" s="106"/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</row>
    <row r="331" spans="1:11">
      <c r="A331" s="106"/>
      <c r="B331" s="107"/>
      <c r="C331" s="107"/>
      <c r="D331" s="107"/>
      <c r="E331" s="107"/>
      <c r="F331" s="107"/>
      <c r="G331" s="107"/>
      <c r="H331" s="107"/>
      <c r="I331" s="107"/>
      <c r="J331" s="107"/>
      <c r="K331" s="107"/>
    </row>
    <row r="332" spans="1:11">
      <c r="A332" s="106"/>
      <c r="B332" s="107"/>
      <c r="C332" s="107"/>
      <c r="D332" s="107"/>
      <c r="E332" s="107"/>
      <c r="F332" s="107"/>
      <c r="G332" s="107"/>
      <c r="H332" s="107"/>
      <c r="I332" s="107"/>
      <c r="J332" s="107"/>
      <c r="K332" s="107"/>
    </row>
    <row r="333" spans="1:11">
      <c r="A333" s="106"/>
      <c r="B333" s="107"/>
      <c r="C333" s="107"/>
      <c r="D333" s="107"/>
      <c r="E333" s="107"/>
      <c r="F333" s="107"/>
      <c r="G333" s="107"/>
      <c r="H333" s="107"/>
      <c r="I333" s="107"/>
      <c r="J333" s="107"/>
      <c r="K333" s="107"/>
    </row>
    <row r="334" spans="1:11">
      <c r="A334" s="106"/>
      <c r="B334" s="107"/>
      <c r="C334" s="107"/>
      <c r="D334" s="107"/>
      <c r="E334" s="107"/>
      <c r="F334" s="107"/>
      <c r="G334" s="107"/>
      <c r="H334" s="107"/>
      <c r="I334" s="107"/>
      <c r="J334" s="107"/>
      <c r="K334" s="107"/>
    </row>
    <row r="335" spans="1:11">
      <c r="A335" s="106"/>
      <c r="B335" s="107"/>
      <c r="C335" s="107"/>
      <c r="D335" s="107"/>
      <c r="E335" s="107"/>
      <c r="F335" s="107"/>
      <c r="G335" s="107"/>
      <c r="H335" s="107"/>
      <c r="I335" s="107"/>
      <c r="J335" s="107"/>
      <c r="K335" s="107"/>
    </row>
    <row r="336" spans="1:11">
      <c r="A336" s="106"/>
      <c r="B336" s="107"/>
      <c r="C336" s="107"/>
      <c r="D336" s="107"/>
      <c r="E336" s="107"/>
      <c r="F336" s="107"/>
      <c r="G336" s="107"/>
      <c r="H336" s="107"/>
      <c r="I336" s="107"/>
      <c r="J336" s="107"/>
      <c r="K336" s="107"/>
    </row>
    <row r="337" spans="1:11">
      <c r="A337" s="106"/>
      <c r="B337" s="107"/>
      <c r="C337" s="107"/>
      <c r="D337" s="107"/>
      <c r="E337" s="107"/>
      <c r="F337" s="107"/>
      <c r="G337" s="107"/>
      <c r="H337" s="107"/>
      <c r="I337" s="107"/>
      <c r="J337" s="107"/>
      <c r="K337" s="107"/>
    </row>
    <row r="338" spans="1:11">
      <c r="A338" s="106"/>
      <c r="B338" s="107"/>
      <c r="C338" s="107"/>
      <c r="D338" s="107"/>
      <c r="E338" s="107"/>
      <c r="F338" s="107"/>
      <c r="G338" s="107"/>
      <c r="H338" s="107"/>
      <c r="I338" s="107"/>
      <c r="J338" s="107"/>
      <c r="K338" s="107"/>
    </row>
    <row r="339" spans="1:11">
      <c r="A339" s="106"/>
      <c r="B339" s="107"/>
      <c r="C339" s="107"/>
      <c r="D339" s="107"/>
      <c r="E339" s="107"/>
      <c r="F339" s="107"/>
      <c r="G339" s="107"/>
      <c r="H339" s="107"/>
      <c r="I339" s="107"/>
      <c r="J339" s="107"/>
      <c r="K339" s="107"/>
    </row>
    <row r="340" spans="1:11">
      <c r="A340" s="106"/>
      <c r="B340" s="107"/>
      <c r="C340" s="107"/>
      <c r="D340" s="107"/>
      <c r="E340" s="107"/>
      <c r="F340" s="107"/>
      <c r="G340" s="107"/>
      <c r="H340" s="107"/>
      <c r="I340" s="107"/>
      <c r="J340" s="107"/>
      <c r="K340" s="107"/>
    </row>
    <row r="341" spans="1:11">
      <c r="A341" s="106"/>
      <c r="B341" s="107"/>
      <c r="C341" s="107"/>
      <c r="D341" s="107"/>
      <c r="E341" s="107"/>
      <c r="F341" s="107"/>
      <c r="G341" s="107"/>
      <c r="H341" s="107"/>
      <c r="I341" s="107"/>
      <c r="J341" s="107"/>
      <c r="K341" s="107"/>
    </row>
    <row r="342" spans="1:11">
      <c r="A342" s="106"/>
      <c r="B342" s="107"/>
      <c r="C342" s="107"/>
      <c r="D342" s="107"/>
      <c r="E342" s="107"/>
      <c r="F342" s="107"/>
      <c r="G342" s="107"/>
      <c r="H342" s="107"/>
      <c r="I342" s="107"/>
      <c r="J342" s="107"/>
      <c r="K342" s="107"/>
    </row>
    <row r="343" spans="1:11">
      <c r="A343" s="106"/>
      <c r="B343" s="107"/>
      <c r="C343" s="107"/>
      <c r="D343" s="107"/>
      <c r="E343" s="107"/>
      <c r="F343" s="107"/>
      <c r="G343" s="107"/>
      <c r="H343" s="107"/>
      <c r="I343" s="107"/>
      <c r="J343" s="107"/>
      <c r="K343" s="107"/>
    </row>
    <row r="344" spans="1:11">
      <c r="A344" s="106"/>
      <c r="B344" s="107"/>
      <c r="C344" s="107"/>
      <c r="D344" s="107"/>
      <c r="E344" s="107"/>
      <c r="F344" s="107"/>
      <c r="G344" s="107"/>
      <c r="H344" s="107"/>
      <c r="I344" s="107"/>
      <c r="J344" s="107"/>
      <c r="K344" s="107"/>
    </row>
    <row r="345" spans="1:11">
      <c r="A345" s="106"/>
      <c r="B345" s="107"/>
      <c r="C345" s="107"/>
      <c r="D345" s="107"/>
      <c r="E345" s="107"/>
      <c r="F345" s="107"/>
      <c r="G345" s="107"/>
      <c r="H345" s="107"/>
      <c r="I345" s="107"/>
      <c r="J345" s="107"/>
      <c r="K345" s="107"/>
    </row>
    <row r="346" spans="1:11">
      <c r="A346" s="106"/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</row>
    <row r="347" spans="1:11">
      <c r="A347" s="106"/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</row>
    <row r="348" spans="1:11">
      <c r="A348" s="106"/>
      <c r="B348" s="107"/>
      <c r="C348" s="107"/>
      <c r="D348" s="107"/>
      <c r="E348" s="107"/>
      <c r="F348" s="107"/>
      <c r="G348" s="107"/>
      <c r="H348" s="107"/>
      <c r="I348" s="107"/>
      <c r="J348" s="107"/>
      <c r="K348" s="107"/>
    </row>
    <row r="349" spans="1:11">
      <c r="A349" s="106"/>
      <c r="B349" s="107"/>
      <c r="C349" s="107"/>
      <c r="D349" s="107"/>
      <c r="E349" s="107"/>
      <c r="F349" s="107"/>
      <c r="G349" s="107"/>
      <c r="H349" s="107"/>
      <c r="I349" s="107"/>
      <c r="J349" s="107"/>
      <c r="K349" s="107"/>
    </row>
    <row r="350" spans="1:11">
      <c r="A350" s="106"/>
      <c r="B350" s="107"/>
      <c r="C350" s="107"/>
      <c r="D350" s="107"/>
      <c r="E350" s="107"/>
      <c r="F350" s="107"/>
      <c r="G350" s="107"/>
      <c r="H350" s="107"/>
      <c r="I350" s="107"/>
      <c r="J350" s="107"/>
      <c r="K350" s="107"/>
    </row>
    <row r="351" spans="1:11">
      <c r="A351" s="106"/>
      <c r="B351" s="107"/>
      <c r="C351" s="107"/>
      <c r="D351" s="107"/>
      <c r="E351" s="107"/>
      <c r="F351" s="107"/>
      <c r="G351" s="107"/>
      <c r="H351" s="107"/>
      <c r="I351" s="107"/>
      <c r="J351" s="107"/>
      <c r="K351" s="107"/>
    </row>
    <row r="352" spans="1:11">
      <c r="A352" s="106"/>
      <c r="B352" s="107"/>
      <c r="C352" s="107"/>
      <c r="D352" s="107"/>
      <c r="E352" s="107"/>
      <c r="F352" s="107"/>
      <c r="G352" s="107"/>
      <c r="H352" s="107"/>
      <c r="I352" s="107"/>
      <c r="J352" s="107"/>
      <c r="K352" s="107"/>
    </row>
    <row r="353" spans="1:11">
      <c r="A353" s="106"/>
      <c r="B353" s="107"/>
      <c r="C353" s="107"/>
      <c r="D353" s="107"/>
      <c r="E353" s="107"/>
      <c r="F353" s="107"/>
      <c r="G353" s="107"/>
      <c r="H353" s="107"/>
      <c r="I353" s="107"/>
      <c r="J353" s="107"/>
      <c r="K353" s="107"/>
    </row>
    <row r="354" spans="1:11">
      <c r="A354" s="106"/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</row>
    <row r="355" spans="1:11">
      <c r="A355" s="106"/>
      <c r="B355" s="107"/>
      <c r="C355" s="107"/>
      <c r="D355" s="107"/>
      <c r="E355" s="107"/>
      <c r="F355" s="107"/>
      <c r="G355" s="107"/>
      <c r="H355" s="107"/>
      <c r="I355" s="107"/>
      <c r="J355" s="107"/>
      <c r="K355" s="107"/>
    </row>
    <row r="356" spans="1:11">
      <c r="A356" s="106"/>
      <c r="B356" s="107"/>
      <c r="C356" s="107"/>
      <c r="D356" s="107"/>
      <c r="E356" s="107"/>
      <c r="F356" s="107"/>
      <c r="G356" s="107"/>
      <c r="H356" s="107"/>
      <c r="I356" s="107"/>
      <c r="J356" s="107"/>
      <c r="K356" s="107"/>
    </row>
    <row r="357" spans="1:11">
      <c r="A357" s="106"/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</row>
    <row r="358" spans="1:11">
      <c r="A358" s="106"/>
      <c r="B358" s="107"/>
      <c r="C358" s="107"/>
      <c r="D358" s="107"/>
      <c r="E358" s="107"/>
      <c r="F358" s="107"/>
      <c r="G358" s="107"/>
      <c r="H358" s="107"/>
      <c r="I358" s="107"/>
      <c r="J358" s="107"/>
      <c r="K358" s="107"/>
    </row>
    <row r="359" spans="1:11">
      <c r="A359" s="106"/>
      <c r="B359" s="107"/>
      <c r="C359" s="107"/>
      <c r="D359" s="107"/>
      <c r="E359" s="107"/>
      <c r="F359" s="107"/>
      <c r="G359" s="107"/>
      <c r="H359" s="107"/>
      <c r="I359" s="107"/>
      <c r="J359" s="107"/>
      <c r="K359" s="107"/>
    </row>
    <row r="360" spans="1:11">
      <c r="A360" s="106"/>
      <c r="B360" s="107"/>
      <c r="C360" s="107"/>
      <c r="D360" s="107"/>
      <c r="E360" s="107"/>
      <c r="F360" s="107"/>
      <c r="G360" s="107"/>
      <c r="H360" s="107"/>
      <c r="I360" s="107"/>
      <c r="J360" s="107"/>
      <c r="K360" s="107"/>
    </row>
    <row r="361" spans="1:11">
      <c r="A361" s="106"/>
      <c r="B361" s="107"/>
      <c r="C361" s="107"/>
      <c r="D361" s="107"/>
      <c r="E361" s="107"/>
      <c r="F361" s="107"/>
      <c r="G361" s="107"/>
      <c r="H361" s="107"/>
      <c r="I361" s="107"/>
      <c r="J361" s="107"/>
      <c r="K361" s="107"/>
    </row>
    <row r="362" spans="1:11">
      <c r="A362" s="106"/>
      <c r="B362" s="107"/>
      <c r="C362" s="107"/>
      <c r="D362" s="107"/>
      <c r="E362" s="107"/>
      <c r="F362" s="107"/>
      <c r="G362" s="107"/>
      <c r="H362" s="107"/>
      <c r="I362" s="107"/>
      <c r="J362" s="107"/>
      <c r="K362" s="107"/>
    </row>
    <row r="363" spans="1:11">
      <c r="A363" s="106"/>
      <c r="B363" s="107"/>
      <c r="C363" s="107"/>
      <c r="D363" s="107"/>
      <c r="E363" s="107"/>
      <c r="F363" s="107"/>
      <c r="G363" s="107"/>
      <c r="H363" s="107"/>
      <c r="I363" s="107"/>
      <c r="J363" s="107"/>
      <c r="K363" s="107"/>
    </row>
    <row r="364" spans="1:11">
      <c r="A364" s="106"/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</row>
    <row r="365" spans="1:11">
      <c r="A365" s="106"/>
      <c r="B365" s="107"/>
      <c r="C365" s="107"/>
      <c r="D365" s="107"/>
      <c r="E365" s="107"/>
      <c r="F365" s="107"/>
      <c r="G365" s="107"/>
      <c r="H365" s="107"/>
      <c r="I365" s="107"/>
      <c r="J365" s="107"/>
      <c r="K365" s="107"/>
    </row>
    <row r="366" spans="1:11">
      <c r="A366" s="106"/>
      <c r="B366" s="107"/>
      <c r="C366" s="107"/>
      <c r="D366" s="107"/>
      <c r="E366" s="107"/>
      <c r="F366" s="107"/>
      <c r="G366" s="107"/>
      <c r="H366" s="107"/>
      <c r="I366" s="107"/>
      <c r="J366" s="107"/>
      <c r="K366" s="107"/>
    </row>
    <row r="367" spans="1:11">
      <c r="A367" s="106"/>
      <c r="B367" s="107"/>
      <c r="C367" s="107"/>
      <c r="D367" s="107"/>
      <c r="E367" s="107"/>
      <c r="F367" s="107"/>
      <c r="G367" s="107"/>
      <c r="H367" s="107"/>
      <c r="I367" s="107"/>
      <c r="J367" s="107"/>
      <c r="K367" s="107"/>
    </row>
    <row r="368" spans="1:11">
      <c r="A368" s="106"/>
      <c r="B368" s="107"/>
      <c r="C368" s="107"/>
      <c r="D368" s="107"/>
      <c r="E368" s="107"/>
      <c r="F368" s="107"/>
      <c r="G368" s="107"/>
      <c r="H368" s="107"/>
      <c r="I368" s="107"/>
      <c r="J368" s="107"/>
      <c r="K368" s="107"/>
    </row>
    <row r="369" spans="1:11">
      <c r="A369" s="106"/>
      <c r="B369" s="107"/>
      <c r="C369" s="107"/>
      <c r="D369" s="107"/>
      <c r="E369" s="107"/>
      <c r="F369" s="107"/>
      <c r="G369" s="107"/>
      <c r="H369" s="107"/>
      <c r="I369" s="107"/>
      <c r="J369" s="107"/>
      <c r="K369" s="107"/>
    </row>
    <row r="370" spans="1:11">
      <c r="A370" s="106"/>
      <c r="B370" s="107"/>
      <c r="C370" s="107"/>
      <c r="D370" s="107"/>
      <c r="E370" s="107"/>
      <c r="F370" s="107"/>
      <c r="G370" s="107"/>
      <c r="H370" s="107"/>
      <c r="I370" s="107"/>
      <c r="J370" s="107"/>
      <c r="K370" s="107"/>
    </row>
    <row r="371" spans="1:11">
      <c r="A371" s="106"/>
      <c r="B371" s="107"/>
      <c r="C371" s="107"/>
      <c r="D371" s="107"/>
      <c r="E371" s="107"/>
      <c r="F371" s="107"/>
      <c r="G371" s="107"/>
      <c r="H371" s="107"/>
      <c r="I371" s="107"/>
      <c r="J371" s="107"/>
      <c r="K371" s="107"/>
    </row>
    <row r="372" spans="1:11">
      <c r="A372" s="106"/>
      <c r="B372" s="107"/>
      <c r="C372" s="107"/>
      <c r="D372" s="107"/>
      <c r="E372" s="107"/>
      <c r="F372" s="107"/>
      <c r="G372" s="107"/>
      <c r="H372" s="107"/>
      <c r="I372" s="107"/>
      <c r="J372" s="107"/>
      <c r="K372" s="107"/>
    </row>
    <row r="373" spans="1:11">
      <c r="A373" s="106"/>
      <c r="B373" s="107"/>
      <c r="C373" s="107"/>
      <c r="D373" s="107"/>
      <c r="E373" s="107"/>
      <c r="F373" s="107"/>
      <c r="G373" s="107"/>
      <c r="H373" s="107"/>
      <c r="I373" s="107"/>
      <c r="J373" s="107"/>
      <c r="K373" s="107"/>
    </row>
    <row r="374" spans="1:11">
      <c r="A374" s="106"/>
      <c r="B374" s="107"/>
      <c r="C374" s="107"/>
      <c r="D374" s="107"/>
      <c r="E374" s="107"/>
      <c r="F374" s="107"/>
      <c r="G374" s="107"/>
      <c r="H374" s="107"/>
      <c r="I374" s="107"/>
      <c r="J374" s="107"/>
      <c r="K374" s="107"/>
    </row>
    <row r="375" spans="1:11">
      <c r="A375" s="106"/>
      <c r="B375" s="107"/>
      <c r="C375" s="107"/>
      <c r="D375" s="107"/>
      <c r="E375" s="107"/>
      <c r="F375" s="107"/>
      <c r="G375" s="107"/>
      <c r="H375" s="107"/>
      <c r="I375" s="107"/>
      <c r="J375" s="107"/>
      <c r="K375" s="107"/>
    </row>
    <row r="376" spans="1:11">
      <c r="A376" s="106"/>
      <c r="B376" s="107"/>
      <c r="C376" s="107"/>
      <c r="D376" s="107"/>
      <c r="E376" s="107"/>
      <c r="F376" s="107"/>
      <c r="G376" s="107"/>
      <c r="H376" s="107"/>
      <c r="I376" s="107"/>
      <c r="J376" s="107"/>
      <c r="K376" s="107"/>
    </row>
    <row r="377" spans="1:11">
      <c r="A377" s="106"/>
      <c r="B377" s="107"/>
      <c r="C377" s="107"/>
      <c r="D377" s="107"/>
      <c r="E377" s="107"/>
      <c r="F377" s="107"/>
      <c r="G377" s="107"/>
      <c r="H377" s="107"/>
      <c r="I377" s="107"/>
      <c r="J377" s="107"/>
      <c r="K377" s="107"/>
    </row>
    <row r="378" spans="1:11">
      <c r="A378" s="106"/>
      <c r="B378" s="107"/>
      <c r="C378" s="107"/>
      <c r="D378" s="107"/>
      <c r="E378" s="107"/>
      <c r="F378" s="107"/>
      <c r="G378" s="107"/>
      <c r="H378" s="107"/>
      <c r="I378" s="107"/>
      <c r="J378" s="107"/>
      <c r="K378" s="107"/>
    </row>
    <row r="379" spans="1:11">
      <c r="A379" s="106"/>
      <c r="B379" s="107"/>
      <c r="C379" s="107"/>
      <c r="D379" s="107"/>
      <c r="E379" s="107"/>
      <c r="F379" s="107"/>
      <c r="G379" s="107"/>
      <c r="H379" s="107"/>
      <c r="I379" s="107"/>
      <c r="J379" s="107"/>
      <c r="K379" s="107"/>
    </row>
    <row r="380" spans="1:11">
      <c r="A380" s="106"/>
      <c r="B380" s="107"/>
      <c r="C380" s="107"/>
      <c r="D380" s="107"/>
      <c r="E380" s="107"/>
      <c r="F380" s="107"/>
      <c r="G380" s="107"/>
      <c r="H380" s="107"/>
      <c r="I380" s="107"/>
      <c r="J380" s="107"/>
      <c r="K380" s="107"/>
    </row>
    <row r="381" spans="1:11">
      <c r="A381" s="106"/>
      <c r="B381" s="107"/>
      <c r="C381" s="107"/>
      <c r="D381" s="107"/>
      <c r="E381" s="107"/>
      <c r="F381" s="107"/>
      <c r="G381" s="107"/>
      <c r="H381" s="107"/>
      <c r="I381" s="107"/>
      <c r="J381" s="107"/>
      <c r="K381" s="107"/>
    </row>
    <row r="382" spans="1:11">
      <c r="A382" s="106"/>
      <c r="B382" s="107"/>
      <c r="C382" s="107"/>
      <c r="D382" s="107"/>
      <c r="E382" s="107"/>
      <c r="F382" s="107"/>
      <c r="G382" s="107"/>
      <c r="H382" s="107"/>
      <c r="I382" s="107"/>
      <c r="J382" s="107"/>
      <c r="K382" s="107"/>
    </row>
    <row r="383" spans="1:11">
      <c r="A383" s="106"/>
      <c r="B383" s="107"/>
      <c r="C383" s="107"/>
      <c r="D383" s="107"/>
      <c r="E383" s="107"/>
      <c r="F383" s="107"/>
      <c r="G383" s="107"/>
      <c r="H383" s="107"/>
      <c r="I383" s="107"/>
      <c r="J383" s="107"/>
      <c r="K383" s="107"/>
    </row>
    <row r="384" spans="1:11">
      <c r="A384" s="106"/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</row>
    <row r="385" spans="1:11">
      <c r="A385" s="106"/>
      <c r="B385" s="107"/>
      <c r="C385" s="107"/>
      <c r="D385" s="107"/>
      <c r="E385" s="107"/>
      <c r="F385" s="107"/>
      <c r="G385" s="107"/>
      <c r="H385" s="107"/>
      <c r="I385" s="107"/>
      <c r="J385" s="107"/>
      <c r="K385" s="107"/>
    </row>
    <row r="386" spans="1:11">
      <c r="A386" s="106"/>
      <c r="B386" s="107"/>
      <c r="C386" s="107"/>
      <c r="D386" s="107"/>
      <c r="E386" s="107"/>
      <c r="F386" s="107"/>
      <c r="G386" s="107"/>
      <c r="H386" s="107"/>
      <c r="I386" s="107"/>
      <c r="J386" s="107"/>
      <c r="K386" s="107"/>
    </row>
    <row r="387" spans="1:11">
      <c r="A387" s="106"/>
      <c r="B387" s="107"/>
      <c r="C387" s="107"/>
      <c r="D387" s="107"/>
      <c r="E387" s="107"/>
      <c r="F387" s="107"/>
      <c r="G387" s="107"/>
      <c r="H387" s="107"/>
      <c r="I387" s="107"/>
      <c r="J387" s="107"/>
      <c r="K387" s="107"/>
    </row>
    <row r="388" spans="1:11">
      <c r="A388" s="106"/>
      <c r="B388" s="107"/>
      <c r="C388" s="107"/>
      <c r="D388" s="107"/>
      <c r="E388" s="107"/>
      <c r="F388" s="107"/>
      <c r="G388" s="107"/>
      <c r="H388" s="107"/>
      <c r="I388" s="107"/>
      <c r="J388" s="107"/>
      <c r="K388" s="107"/>
    </row>
    <row r="389" spans="1:11">
      <c r="A389" s="106"/>
      <c r="B389" s="107"/>
      <c r="C389" s="107"/>
      <c r="D389" s="107"/>
      <c r="E389" s="107"/>
      <c r="F389" s="107"/>
      <c r="G389" s="107"/>
      <c r="H389" s="107"/>
      <c r="I389" s="107"/>
      <c r="J389" s="107"/>
      <c r="K389" s="107"/>
    </row>
    <row r="390" spans="1:11">
      <c r="A390" s="106"/>
      <c r="B390" s="107"/>
      <c r="C390" s="107"/>
      <c r="D390" s="107"/>
      <c r="E390" s="107"/>
      <c r="F390" s="107"/>
      <c r="G390" s="107"/>
      <c r="H390" s="107"/>
      <c r="I390" s="107"/>
      <c r="J390" s="107"/>
      <c r="K390" s="107"/>
    </row>
    <row r="391" spans="1:11">
      <c r="A391" s="106"/>
      <c r="B391" s="107"/>
      <c r="C391" s="107"/>
      <c r="D391" s="107"/>
      <c r="E391" s="107"/>
      <c r="F391" s="107"/>
      <c r="G391" s="107"/>
      <c r="H391" s="107"/>
      <c r="I391" s="107"/>
      <c r="J391" s="107"/>
      <c r="K391" s="107"/>
    </row>
    <row r="392" spans="1:11">
      <c r="A392" s="106"/>
      <c r="B392" s="107"/>
      <c r="C392" s="107"/>
      <c r="D392" s="107"/>
      <c r="E392" s="107"/>
      <c r="F392" s="107"/>
      <c r="G392" s="107"/>
      <c r="H392" s="107"/>
      <c r="I392" s="107"/>
      <c r="J392" s="107"/>
      <c r="K392" s="107"/>
    </row>
    <row r="393" spans="1:11">
      <c r="A393" s="106"/>
      <c r="B393" s="107"/>
      <c r="C393" s="107"/>
      <c r="D393" s="107"/>
      <c r="E393" s="107"/>
      <c r="F393" s="107"/>
      <c r="G393" s="107"/>
      <c r="H393" s="107"/>
      <c r="I393" s="107"/>
      <c r="J393" s="107"/>
      <c r="K393" s="107"/>
    </row>
    <row r="394" spans="1:11">
      <c r="A394" s="106"/>
      <c r="B394" s="107"/>
      <c r="C394" s="107"/>
      <c r="D394" s="107"/>
      <c r="E394" s="107"/>
      <c r="F394" s="107"/>
      <c r="G394" s="107"/>
      <c r="H394" s="107"/>
      <c r="I394" s="107"/>
      <c r="J394" s="107"/>
      <c r="K394" s="107"/>
    </row>
    <row r="395" spans="1:11">
      <c r="A395" s="106"/>
      <c r="B395" s="107"/>
      <c r="C395" s="107"/>
      <c r="D395" s="107"/>
      <c r="E395" s="107"/>
      <c r="F395" s="107"/>
      <c r="G395" s="107"/>
      <c r="H395" s="107"/>
      <c r="I395" s="107"/>
      <c r="J395" s="107"/>
      <c r="K395" s="107"/>
    </row>
    <row r="396" spans="1:11">
      <c r="A396" s="106"/>
      <c r="B396" s="107"/>
      <c r="C396" s="107"/>
      <c r="D396" s="107"/>
      <c r="E396" s="107"/>
      <c r="F396" s="107"/>
      <c r="G396" s="107"/>
      <c r="H396" s="107"/>
      <c r="I396" s="107"/>
      <c r="J396" s="107"/>
      <c r="K396" s="107"/>
    </row>
    <row r="397" spans="1:11">
      <c r="A397" s="106"/>
      <c r="B397" s="107"/>
      <c r="C397" s="107"/>
      <c r="D397" s="107"/>
      <c r="E397" s="107"/>
      <c r="F397" s="107"/>
      <c r="G397" s="107"/>
      <c r="H397" s="107"/>
      <c r="I397" s="107"/>
      <c r="J397" s="107"/>
      <c r="K397" s="107"/>
    </row>
    <row r="398" spans="1:11">
      <c r="A398" s="106"/>
      <c r="B398" s="107"/>
      <c r="C398" s="107"/>
      <c r="D398" s="107"/>
      <c r="E398" s="107"/>
      <c r="F398" s="107"/>
      <c r="G398" s="107"/>
      <c r="H398" s="107"/>
      <c r="I398" s="107"/>
      <c r="J398" s="107"/>
      <c r="K398" s="107"/>
    </row>
    <row r="399" spans="1:11">
      <c r="A399" s="106"/>
      <c r="B399" s="107"/>
      <c r="C399" s="107"/>
      <c r="D399" s="107"/>
      <c r="E399" s="107"/>
      <c r="F399" s="107"/>
      <c r="G399" s="107"/>
      <c r="H399" s="107"/>
      <c r="I399" s="107"/>
      <c r="J399" s="107"/>
      <c r="K399" s="107"/>
    </row>
    <row r="400" spans="1:11">
      <c r="A400" s="106"/>
      <c r="B400" s="107"/>
      <c r="C400" s="107"/>
      <c r="D400" s="107"/>
      <c r="E400" s="107"/>
      <c r="F400" s="107"/>
      <c r="G400" s="107"/>
      <c r="H400" s="107"/>
      <c r="I400" s="107"/>
      <c r="J400" s="107"/>
      <c r="K400" s="107"/>
    </row>
    <row r="401" spans="1:11">
      <c r="A401" s="106"/>
      <c r="B401" s="107"/>
      <c r="C401" s="107"/>
      <c r="D401" s="107"/>
      <c r="E401" s="107"/>
      <c r="F401" s="107"/>
      <c r="G401" s="107"/>
      <c r="H401" s="107"/>
      <c r="I401" s="107"/>
      <c r="J401" s="107"/>
      <c r="K401" s="107"/>
    </row>
    <row r="402" spans="1:11">
      <c r="A402" s="106"/>
      <c r="B402" s="107"/>
      <c r="C402" s="107"/>
      <c r="D402" s="107"/>
      <c r="E402" s="107"/>
      <c r="F402" s="107"/>
      <c r="G402" s="107"/>
      <c r="H402" s="107"/>
      <c r="I402" s="107"/>
      <c r="J402" s="107"/>
      <c r="K402" s="107"/>
    </row>
    <row r="403" spans="1:11">
      <c r="A403" s="106"/>
      <c r="B403" s="107"/>
      <c r="C403" s="107"/>
      <c r="D403" s="107"/>
      <c r="E403" s="107"/>
      <c r="F403" s="107"/>
      <c r="G403" s="107"/>
      <c r="H403" s="107"/>
      <c r="I403" s="107"/>
      <c r="J403" s="107"/>
      <c r="K403" s="107"/>
    </row>
    <row r="404" spans="1:11">
      <c r="A404" s="106"/>
      <c r="B404" s="107"/>
      <c r="C404" s="107"/>
      <c r="D404" s="107"/>
      <c r="E404" s="107"/>
      <c r="F404" s="107"/>
      <c r="G404" s="107"/>
      <c r="H404" s="107"/>
      <c r="I404" s="107"/>
      <c r="J404" s="107"/>
      <c r="K404" s="107"/>
    </row>
    <row r="405" spans="1:11">
      <c r="A405" s="106"/>
      <c r="B405" s="107"/>
      <c r="C405" s="107"/>
      <c r="D405" s="107"/>
      <c r="E405" s="107"/>
      <c r="F405" s="107"/>
      <c r="G405" s="107"/>
      <c r="H405" s="107"/>
      <c r="I405" s="107"/>
      <c r="J405" s="107"/>
      <c r="K405" s="107"/>
    </row>
    <row r="406" spans="1:11">
      <c r="A406" s="106"/>
      <c r="B406" s="107"/>
      <c r="C406" s="107"/>
      <c r="D406" s="107"/>
      <c r="E406" s="107"/>
      <c r="F406" s="107"/>
      <c r="G406" s="107"/>
      <c r="H406" s="107"/>
      <c r="I406" s="107"/>
      <c r="J406" s="107"/>
      <c r="K406" s="107"/>
    </row>
    <row r="407" spans="1:11">
      <c r="A407" s="106"/>
      <c r="B407" s="107"/>
      <c r="C407" s="107"/>
      <c r="D407" s="107"/>
      <c r="E407" s="107"/>
      <c r="F407" s="107"/>
      <c r="G407" s="107"/>
      <c r="H407" s="107"/>
      <c r="I407" s="107"/>
      <c r="J407" s="107"/>
      <c r="K407" s="107"/>
    </row>
    <row r="408" spans="1:11">
      <c r="A408" s="106"/>
      <c r="B408" s="107"/>
      <c r="C408" s="107"/>
      <c r="D408" s="107"/>
      <c r="E408" s="107"/>
      <c r="F408" s="107"/>
      <c r="G408" s="107"/>
      <c r="H408" s="107"/>
      <c r="I408" s="107"/>
      <c r="J408" s="107"/>
      <c r="K408" s="107"/>
    </row>
    <row r="409" spans="1:11">
      <c r="A409" s="106"/>
      <c r="B409" s="107"/>
      <c r="C409" s="107"/>
      <c r="D409" s="107"/>
      <c r="E409" s="107"/>
      <c r="F409" s="107"/>
      <c r="G409" s="107"/>
      <c r="H409" s="107"/>
      <c r="I409" s="107"/>
      <c r="J409" s="107"/>
      <c r="K409" s="107"/>
    </row>
    <row r="410" spans="1:11">
      <c r="A410" s="106"/>
      <c r="B410" s="107"/>
      <c r="C410" s="107"/>
      <c r="D410" s="107"/>
      <c r="E410" s="107"/>
      <c r="F410" s="107"/>
      <c r="G410" s="107"/>
      <c r="H410" s="107"/>
      <c r="I410" s="107"/>
      <c r="J410" s="107"/>
      <c r="K410" s="107"/>
    </row>
    <row r="411" spans="1:11">
      <c r="A411" s="106"/>
      <c r="B411" s="107"/>
      <c r="C411" s="107"/>
      <c r="D411" s="107"/>
      <c r="E411" s="107"/>
      <c r="F411" s="107"/>
      <c r="G411" s="107"/>
      <c r="H411" s="107"/>
      <c r="I411" s="107"/>
      <c r="J411" s="107"/>
      <c r="K411" s="107"/>
    </row>
    <row r="412" spans="1:11">
      <c r="A412" s="106"/>
      <c r="B412" s="107"/>
      <c r="C412" s="107"/>
      <c r="D412" s="107"/>
      <c r="E412" s="107"/>
      <c r="F412" s="107"/>
      <c r="G412" s="107"/>
      <c r="H412" s="107"/>
      <c r="I412" s="107"/>
      <c r="J412" s="107"/>
      <c r="K412" s="107"/>
    </row>
    <row r="413" spans="1:11">
      <c r="A413" s="106"/>
      <c r="B413" s="107"/>
      <c r="C413" s="107"/>
      <c r="D413" s="107"/>
      <c r="E413" s="107"/>
      <c r="F413" s="107"/>
      <c r="G413" s="107"/>
      <c r="H413" s="107"/>
      <c r="I413" s="107"/>
      <c r="J413" s="107"/>
      <c r="K413" s="107"/>
    </row>
    <row r="414" spans="1:11">
      <c r="A414" s="106"/>
      <c r="B414" s="107"/>
      <c r="C414" s="107"/>
      <c r="D414" s="107"/>
      <c r="E414" s="107"/>
      <c r="F414" s="107"/>
      <c r="G414" s="107"/>
      <c r="H414" s="107"/>
      <c r="I414" s="107"/>
      <c r="J414" s="107"/>
      <c r="K414" s="107"/>
    </row>
    <row r="415" spans="1:11">
      <c r="A415" s="106"/>
      <c r="B415" s="107"/>
      <c r="C415" s="107"/>
      <c r="D415" s="107"/>
      <c r="E415" s="107"/>
      <c r="F415" s="107"/>
      <c r="G415" s="107"/>
      <c r="H415" s="107"/>
      <c r="I415" s="107"/>
      <c r="J415" s="107"/>
      <c r="K415" s="107"/>
    </row>
    <row r="416" spans="1:11">
      <c r="A416" s="106"/>
      <c r="B416" s="107"/>
      <c r="C416" s="107"/>
      <c r="D416" s="107"/>
      <c r="E416" s="107"/>
      <c r="F416" s="107"/>
      <c r="G416" s="107"/>
      <c r="H416" s="107"/>
      <c r="I416" s="107"/>
      <c r="J416" s="107"/>
      <c r="K416" s="107"/>
    </row>
    <row r="417" spans="1:11">
      <c r="A417" s="106"/>
      <c r="B417" s="107"/>
      <c r="C417" s="107"/>
      <c r="D417" s="107"/>
      <c r="E417" s="107"/>
      <c r="F417" s="107"/>
      <c r="G417" s="107"/>
      <c r="H417" s="107"/>
      <c r="I417" s="107"/>
      <c r="J417" s="107"/>
      <c r="K417" s="107"/>
    </row>
    <row r="418" spans="1:11">
      <c r="A418" s="106"/>
      <c r="B418" s="107"/>
      <c r="C418" s="107"/>
      <c r="D418" s="107"/>
      <c r="E418" s="107"/>
      <c r="F418" s="107"/>
      <c r="G418" s="107"/>
      <c r="H418" s="107"/>
      <c r="I418" s="107"/>
      <c r="J418" s="107"/>
      <c r="K418" s="107"/>
    </row>
    <row r="419" spans="1:11">
      <c r="A419" s="106"/>
      <c r="B419" s="107"/>
      <c r="C419" s="107"/>
      <c r="D419" s="107"/>
      <c r="E419" s="107"/>
      <c r="F419" s="107"/>
      <c r="G419" s="107"/>
      <c r="H419" s="107"/>
      <c r="I419" s="107"/>
      <c r="J419" s="107"/>
      <c r="K419" s="107"/>
    </row>
    <row r="420" spans="1:11">
      <c r="A420" s="106"/>
      <c r="B420" s="107"/>
      <c r="C420" s="107"/>
      <c r="D420" s="107"/>
      <c r="E420" s="107"/>
      <c r="F420" s="107"/>
      <c r="G420" s="107"/>
      <c r="H420" s="107"/>
      <c r="I420" s="107"/>
      <c r="J420" s="107"/>
      <c r="K420" s="107"/>
    </row>
    <row r="421" spans="1:11">
      <c r="A421" s="106"/>
      <c r="B421" s="107"/>
      <c r="C421" s="107"/>
      <c r="D421" s="107"/>
      <c r="E421" s="107"/>
      <c r="F421" s="107"/>
      <c r="G421" s="107"/>
      <c r="H421" s="107"/>
      <c r="I421" s="107"/>
      <c r="J421" s="107"/>
      <c r="K421" s="107"/>
    </row>
    <row r="422" spans="1:11">
      <c r="A422" s="106"/>
      <c r="B422" s="107"/>
      <c r="C422" s="107"/>
      <c r="D422" s="107"/>
      <c r="E422" s="107"/>
      <c r="F422" s="107"/>
      <c r="G422" s="107"/>
      <c r="H422" s="107"/>
      <c r="I422" s="107"/>
      <c r="J422" s="107"/>
      <c r="K422" s="107"/>
    </row>
    <row r="423" spans="1:11">
      <c r="A423" s="106"/>
      <c r="B423" s="107"/>
      <c r="C423" s="107"/>
      <c r="D423" s="107"/>
      <c r="E423" s="107"/>
      <c r="F423" s="107"/>
      <c r="G423" s="107"/>
      <c r="H423" s="107"/>
      <c r="I423" s="107"/>
      <c r="J423" s="107"/>
      <c r="K423" s="107"/>
    </row>
    <row r="424" spans="1:11">
      <c r="A424" s="106"/>
      <c r="B424" s="107"/>
      <c r="C424" s="107"/>
      <c r="D424" s="107"/>
      <c r="E424" s="107"/>
      <c r="F424" s="107"/>
      <c r="G424" s="107"/>
      <c r="H424" s="107"/>
      <c r="I424" s="107"/>
      <c r="J424" s="107"/>
      <c r="K424" s="107"/>
    </row>
    <row r="425" spans="1:11">
      <c r="A425" s="106"/>
      <c r="B425" s="107"/>
      <c r="C425" s="107"/>
      <c r="D425" s="107"/>
      <c r="E425" s="107"/>
      <c r="F425" s="107"/>
      <c r="G425" s="107"/>
      <c r="H425" s="107"/>
      <c r="I425" s="107"/>
      <c r="J425" s="107"/>
      <c r="K425" s="107"/>
    </row>
    <row r="426" spans="1:11">
      <c r="A426" s="106"/>
      <c r="B426" s="107"/>
      <c r="C426" s="107"/>
      <c r="D426" s="107"/>
      <c r="E426" s="107"/>
      <c r="F426" s="107"/>
      <c r="G426" s="107"/>
      <c r="H426" s="107"/>
      <c r="I426" s="107"/>
      <c r="J426" s="107"/>
      <c r="K426" s="107"/>
    </row>
    <row r="427" spans="1:11">
      <c r="A427" s="106"/>
      <c r="B427" s="107"/>
      <c r="C427" s="107"/>
      <c r="D427" s="107"/>
      <c r="E427" s="107"/>
      <c r="F427" s="107"/>
      <c r="G427" s="107"/>
      <c r="H427" s="107"/>
      <c r="I427" s="107"/>
      <c r="J427" s="107"/>
      <c r="K427" s="107"/>
    </row>
    <row r="428" spans="1:11">
      <c r="A428" s="106"/>
      <c r="B428" s="107"/>
      <c r="C428" s="107"/>
      <c r="D428" s="107"/>
      <c r="E428" s="107"/>
      <c r="F428" s="107"/>
      <c r="G428" s="107"/>
      <c r="H428" s="107"/>
      <c r="I428" s="107"/>
      <c r="J428" s="107"/>
      <c r="K428" s="107"/>
    </row>
    <row r="429" spans="1:11">
      <c r="A429" s="106"/>
      <c r="B429" s="107"/>
      <c r="C429" s="107"/>
      <c r="D429" s="107"/>
      <c r="E429" s="107"/>
      <c r="F429" s="107"/>
      <c r="G429" s="107"/>
      <c r="H429" s="107"/>
      <c r="I429" s="107"/>
      <c r="J429" s="107"/>
      <c r="K429" s="107"/>
    </row>
    <row r="430" spans="1:11">
      <c r="A430" s="106"/>
      <c r="B430" s="107"/>
      <c r="C430" s="107"/>
      <c r="D430" s="107"/>
      <c r="E430" s="107"/>
      <c r="F430" s="107"/>
      <c r="G430" s="107"/>
      <c r="H430" s="107"/>
      <c r="I430" s="107"/>
      <c r="J430" s="107"/>
      <c r="K430" s="107"/>
    </row>
    <row r="431" spans="1:11">
      <c r="A431" s="106"/>
      <c r="B431" s="107"/>
      <c r="C431" s="107"/>
      <c r="D431" s="107"/>
      <c r="E431" s="107"/>
      <c r="F431" s="107"/>
      <c r="G431" s="107"/>
      <c r="H431" s="107"/>
      <c r="I431" s="107"/>
      <c r="J431" s="107"/>
      <c r="K431" s="107"/>
    </row>
    <row r="432" spans="1:11">
      <c r="A432" s="106"/>
      <c r="B432" s="107"/>
      <c r="C432" s="107"/>
      <c r="D432" s="107"/>
      <c r="E432" s="107"/>
      <c r="F432" s="107"/>
      <c r="G432" s="107"/>
      <c r="H432" s="107"/>
      <c r="I432" s="107"/>
      <c r="J432" s="107"/>
      <c r="K432" s="107"/>
    </row>
    <row r="433" spans="1:11">
      <c r="A433" s="106"/>
      <c r="B433" s="107"/>
      <c r="C433" s="107"/>
      <c r="D433" s="107"/>
      <c r="E433" s="107"/>
      <c r="F433" s="107"/>
      <c r="G433" s="107"/>
      <c r="H433" s="107"/>
      <c r="I433" s="107"/>
      <c r="J433" s="107"/>
      <c r="K433" s="107"/>
    </row>
    <row r="434" spans="1:11">
      <c r="A434" s="106"/>
      <c r="B434" s="107"/>
      <c r="C434" s="107"/>
      <c r="D434" s="107"/>
      <c r="E434" s="107"/>
      <c r="F434" s="107"/>
      <c r="G434" s="107"/>
      <c r="H434" s="107"/>
      <c r="I434" s="107"/>
      <c r="J434" s="107"/>
      <c r="K434" s="107"/>
    </row>
    <row r="435" spans="1:11">
      <c r="A435" s="106"/>
      <c r="B435" s="107"/>
      <c r="C435" s="107"/>
      <c r="D435" s="107"/>
      <c r="E435" s="107"/>
      <c r="F435" s="107"/>
      <c r="G435" s="107"/>
      <c r="H435" s="107"/>
      <c r="I435" s="107"/>
      <c r="J435" s="107"/>
      <c r="K435" s="107"/>
    </row>
    <row r="436" spans="1:11">
      <c r="A436" s="106"/>
      <c r="B436" s="107"/>
      <c r="C436" s="107"/>
      <c r="D436" s="107"/>
      <c r="E436" s="107"/>
      <c r="F436" s="107"/>
      <c r="G436" s="107"/>
      <c r="H436" s="107"/>
      <c r="I436" s="107"/>
      <c r="J436" s="107"/>
      <c r="K436" s="107"/>
    </row>
    <row r="437" spans="1:11">
      <c r="A437" s="106"/>
      <c r="B437" s="107"/>
      <c r="C437" s="107"/>
      <c r="D437" s="107"/>
      <c r="E437" s="107"/>
      <c r="F437" s="107"/>
      <c r="G437" s="107"/>
      <c r="H437" s="107"/>
      <c r="I437" s="107"/>
      <c r="J437" s="107"/>
      <c r="K437" s="107"/>
    </row>
    <row r="438" spans="1:11">
      <c r="A438" s="106"/>
      <c r="B438" s="107"/>
      <c r="C438" s="107"/>
      <c r="D438" s="107"/>
      <c r="E438" s="107"/>
      <c r="F438" s="107"/>
      <c r="G438" s="107"/>
      <c r="H438" s="107"/>
      <c r="I438" s="107"/>
      <c r="J438" s="107"/>
      <c r="K438" s="107"/>
    </row>
    <row r="439" spans="1:11">
      <c r="A439" s="106"/>
      <c r="B439" s="107"/>
      <c r="C439" s="107"/>
      <c r="D439" s="107"/>
      <c r="E439" s="107"/>
      <c r="F439" s="107"/>
      <c r="G439" s="107"/>
      <c r="H439" s="107"/>
      <c r="I439" s="107"/>
      <c r="J439" s="107"/>
      <c r="K439" s="107"/>
    </row>
    <row r="440" spans="1:11">
      <c r="A440" s="106"/>
      <c r="B440" s="107"/>
      <c r="C440" s="107"/>
      <c r="D440" s="107"/>
      <c r="E440" s="107"/>
      <c r="F440" s="107"/>
      <c r="G440" s="107"/>
      <c r="H440" s="107"/>
      <c r="I440" s="107"/>
      <c r="J440" s="107"/>
      <c r="K440" s="107"/>
    </row>
    <row r="441" spans="1:11">
      <c r="A441" s="106"/>
      <c r="B441" s="107"/>
      <c r="C441" s="107"/>
      <c r="D441" s="107"/>
      <c r="E441" s="107"/>
      <c r="F441" s="107"/>
      <c r="G441" s="107"/>
      <c r="H441" s="107"/>
      <c r="I441" s="107"/>
      <c r="J441" s="107"/>
      <c r="K441" s="107"/>
    </row>
    <row r="442" spans="1:11">
      <c r="A442" s="106"/>
      <c r="B442" s="107"/>
      <c r="C442" s="107"/>
      <c r="D442" s="107"/>
      <c r="E442" s="107"/>
      <c r="F442" s="107"/>
      <c r="G442" s="107"/>
      <c r="H442" s="107"/>
      <c r="I442" s="107"/>
      <c r="J442" s="107"/>
      <c r="K442" s="107"/>
    </row>
    <row r="443" spans="1:11">
      <c r="A443" s="106"/>
      <c r="B443" s="107"/>
      <c r="C443" s="107"/>
      <c r="D443" s="107"/>
      <c r="E443" s="107"/>
      <c r="F443" s="107"/>
      <c r="G443" s="107"/>
      <c r="H443" s="107"/>
      <c r="I443" s="107"/>
      <c r="J443" s="107"/>
      <c r="K443" s="107"/>
    </row>
    <row r="444" spans="1:11">
      <c r="A444" s="106"/>
      <c r="B444" s="107"/>
      <c r="C444" s="107"/>
      <c r="D444" s="107"/>
      <c r="E444" s="107"/>
      <c r="F444" s="107"/>
      <c r="G444" s="107"/>
      <c r="H444" s="107"/>
      <c r="I444" s="107"/>
      <c r="J444" s="107"/>
      <c r="K444" s="107"/>
    </row>
    <row r="445" spans="1:11">
      <c r="A445" s="106"/>
      <c r="B445" s="107"/>
      <c r="C445" s="107"/>
      <c r="D445" s="107"/>
      <c r="E445" s="107"/>
      <c r="F445" s="107"/>
      <c r="G445" s="107"/>
      <c r="H445" s="107"/>
      <c r="I445" s="107"/>
      <c r="J445" s="107"/>
      <c r="K445" s="107"/>
    </row>
    <row r="446" spans="1:11">
      <c r="A446" s="106"/>
      <c r="B446" s="107"/>
      <c r="C446" s="107"/>
      <c r="D446" s="107"/>
      <c r="E446" s="107"/>
      <c r="F446" s="107"/>
      <c r="G446" s="107"/>
      <c r="H446" s="107"/>
      <c r="I446" s="107"/>
      <c r="J446" s="107"/>
      <c r="K446" s="107"/>
    </row>
    <row r="447" spans="1:11">
      <c r="A447" s="106"/>
      <c r="B447" s="107"/>
      <c r="C447" s="107"/>
      <c r="D447" s="107"/>
      <c r="E447" s="107"/>
      <c r="F447" s="107"/>
      <c r="G447" s="107"/>
      <c r="H447" s="107"/>
      <c r="I447" s="107"/>
      <c r="J447" s="107"/>
      <c r="K447" s="107"/>
    </row>
    <row r="448" spans="1:11">
      <c r="A448" s="106"/>
      <c r="B448" s="107"/>
      <c r="C448" s="107"/>
      <c r="D448" s="107"/>
      <c r="E448" s="107"/>
      <c r="F448" s="107"/>
      <c r="G448" s="107"/>
      <c r="H448" s="107"/>
      <c r="I448" s="107"/>
      <c r="J448" s="107"/>
      <c r="K448" s="107"/>
    </row>
    <row r="449" spans="1:11">
      <c r="A449" s="106"/>
      <c r="B449" s="107"/>
      <c r="C449" s="107"/>
      <c r="D449" s="107"/>
      <c r="E449" s="107"/>
      <c r="F449" s="107"/>
      <c r="G449" s="107"/>
      <c r="H449" s="107"/>
      <c r="I449" s="107"/>
      <c r="J449" s="107"/>
      <c r="K449" s="107"/>
    </row>
    <row r="450" spans="1:11">
      <c r="A450" s="106"/>
      <c r="B450" s="107"/>
      <c r="C450" s="107"/>
      <c r="D450" s="107"/>
      <c r="E450" s="107"/>
      <c r="F450" s="107"/>
      <c r="G450" s="107"/>
      <c r="H450" s="107"/>
      <c r="I450" s="107"/>
      <c r="J450" s="107"/>
      <c r="K450" s="107"/>
    </row>
    <row r="451" spans="1:11">
      <c r="A451" s="106"/>
      <c r="B451" s="107"/>
      <c r="C451" s="107"/>
      <c r="D451" s="107"/>
      <c r="E451" s="107"/>
      <c r="F451" s="107"/>
      <c r="G451" s="107"/>
      <c r="H451" s="107"/>
      <c r="I451" s="107"/>
      <c r="J451" s="107"/>
      <c r="K451" s="107"/>
    </row>
    <row r="452" spans="1:11">
      <c r="A452" s="106"/>
      <c r="B452" s="107"/>
      <c r="C452" s="107"/>
      <c r="D452" s="107"/>
      <c r="E452" s="107"/>
      <c r="F452" s="107"/>
      <c r="G452" s="107"/>
      <c r="H452" s="107"/>
      <c r="I452" s="107"/>
      <c r="J452" s="107"/>
      <c r="K452" s="107"/>
    </row>
    <row r="453" spans="1:11">
      <c r="A453" s="106"/>
      <c r="B453" s="107"/>
      <c r="C453" s="107"/>
      <c r="D453" s="107"/>
      <c r="E453" s="107"/>
      <c r="F453" s="107"/>
      <c r="G453" s="107"/>
      <c r="H453" s="107"/>
      <c r="I453" s="107"/>
      <c r="J453" s="107"/>
      <c r="K453" s="107"/>
    </row>
    <row r="454" spans="1:11">
      <c r="A454" s="106"/>
      <c r="B454" s="107"/>
      <c r="C454" s="107"/>
      <c r="D454" s="107"/>
      <c r="E454" s="107"/>
      <c r="F454" s="107"/>
      <c r="G454" s="107"/>
      <c r="H454" s="107"/>
      <c r="I454" s="107"/>
      <c r="J454" s="107"/>
      <c r="K454" s="107"/>
    </row>
    <row r="455" spans="1:11">
      <c r="A455" s="106"/>
      <c r="B455" s="107"/>
      <c r="C455" s="107"/>
      <c r="D455" s="107"/>
      <c r="E455" s="107"/>
      <c r="F455" s="107"/>
      <c r="G455" s="107"/>
      <c r="H455" s="107"/>
      <c r="I455" s="107"/>
      <c r="J455" s="107"/>
      <c r="K455" s="107"/>
    </row>
    <row r="456" spans="1:11">
      <c r="A456" s="106"/>
      <c r="B456" s="107"/>
      <c r="C456" s="107"/>
      <c r="D456" s="107"/>
      <c r="E456" s="107"/>
      <c r="F456" s="107"/>
      <c r="G456" s="107"/>
      <c r="H456" s="107"/>
      <c r="I456" s="107"/>
      <c r="J456" s="107"/>
      <c r="K456" s="107"/>
    </row>
    <row r="457" spans="1:11">
      <c r="A457" s="106"/>
      <c r="B457" s="107"/>
      <c r="C457" s="107"/>
      <c r="D457" s="107"/>
      <c r="E457" s="107"/>
      <c r="F457" s="107"/>
      <c r="G457" s="107"/>
      <c r="H457" s="107"/>
      <c r="I457" s="107"/>
      <c r="J457" s="107"/>
      <c r="K457" s="107"/>
    </row>
    <row r="458" spans="1:11">
      <c r="A458" s="106"/>
      <c r="B458" s="107"/>
      <c r="C458" s="107"/>
      <c r="D458" s="107"/>
      <c r="E458" s="107"/>
      <c r="F458" s="107"/>
      <c r="G458" s="107"/>
      <c r="H458" s="107"/>
      <c r="I458" s="107"/>
      <c r="J458" s="107"/>
      <c r="K458" s="107"/>
    </row>
    <row r="459" spans="1:11">
      <c r="A459" s="106"/>
      <c r="B459" s="107"/>
      <c r="C459" s="107"/>
      <c r="D459" s="107"/>
      <c r="E459" s="107"/>
      <c r="F459" s="107"/>
      <c r="G459" s="107"/>
      <c r="H459" s="107"/>
      <c r="I459" s="107"/>
      <c r="J459" s="107"/>
      <c r="K459" s="107"/>
    </row>
    <row r="460" spans="1:11">
      <c r="A460" s="106"/>
      <c r="B460" s="107"/>
      <c r="C460" s="107"/>
      <c r="D460" s="107"/>
      <c r="E460" s="107"/>
      <c r="F460" s="107"/>
      <c r="G460" s="107"/>
      <c r="H460" s="107"/>
      <c r="I460" s="107"/>
      <c r="J460" s="107"/>
      <c r="K460" s="107"/>
    </row>
    <row r="461" spans="1:11">
      <c r="A461" s="106"/>
      <c r="B461" s="107"/>
      <c r="C461" s="107"/>
      <c r="D461" s="107"/>
      <c r="E461" s="107"/>
      <c r="F461" s="107"/>
      <c r="G461" s="107"/>
      <c r="H461" s="107"/>
      <c r="I461" s="107"/>
      <c r="J461" s="107"/>
      <c r="K461" s="107"/>
    </row>
    <row r="462" spans="1:11">
      <c r="A462" s="106"/>
      <c r="B462" s="107"/>
      <c r="C462" s="107"/>
      <c r="D462" s="107"/>
      <c r="E462" s="107"/>
      <c r="F462" s="107"/>
      <c r="G462" s="107"/>
      <c r="H462" s="107"/>
      <c r="I462" s="107"/>
      <c r="J462" s="107"/>
      <c r="K462" s="107"/>
    </row>
    <row r="463" spans="1:11">
      <c r="A463" s="106"/>
      <c r="B463" s="107"/>
      <c r="C463" s="107"/>
      <c r="D463" s="107"/>
      <c r="E463" s="107"/>
      <c r="F463" s="107"/>
      <c r="G463" s="107"/>
      <c r="H463" s="107"/>
      <c r="I463" s="107"/>
      <c r="J463" s="107"/>
      <c r="K463" s="107"/>
    </row>
    <row r="464" spans="1:11">
      <c r="A464" s="106"/>
      <c r="B464" s="107"/>
      <c r="C464" s="107"/>
      <c r="D464" s="107"/>
      <c r="E464" s="107"/>
      <c r="F464" s="107"/>
      <c r="G464" s="107"/>
      <c r="H464" s="107"/>
      <c r="I464" s="107"/>
      <c r="J464" s="107"/>
      <c r="K464" s="107"/>
    </row>
    <row r="465" spans="1:11">
      <c r="A465" s="106"/>
      <c r="B465" s="107"/>
      <c r="C465" s="107"/>
      <c r="D465" s="107"/>
      <c r="E465" s="107"/>
      <c r="F465" s="107"/>
      <c r="G465" s="107"/>
      <c r="H465" s="107"/>
      <c r="I465" s="107"/>
      <c r="J465" s="107"/>
      <c r="K465" s="107"/>
    </row>
    <row r="466" spans="1:11">
      <c r="A466" s="106"/>
      <c r="B466" s="107"/>
      <c r="C466" s="107"/>
      <c r="D466" s="107"/>
      <c r="E466" s="107"/>
      <c r="F466" s="107"/>
      <c r="G466" s="107"/>
      <c r="H466" s="107"/>
      <c r="I466" s="107"/>
      <c r="J466" s="107"/>
      <c r="K466" s="107"/>
    </row>
    <row r="467" spans="1:11">
      <c r="A467" s="106"/>
      <c r="B467" s="107"/>
      <c r="C467" s="107"/>
      <c r="D467" s="107"/>
      <c r="E467" s="107"/>
      <c r="F467" s="107"/>
      <c r="G467" s="107"/>
      <c r="H467" s="107"/>
      <c r="I467" s="107"/>
      <c r="J467" s="107"/>
      <c r="K467" s="107"/>
    </row>
    <row r="468" spans="1:11">
      <c r="A468" s="106"/>
      <c r="B468" s="107"/>
      <c r="C468" s="107"/>
      <c r="D468" s="107"/>
      <c r="E468" s="107"/>
      <c r="F468" s="107"/>
      <c r="G468" s="107"/>
      <c r="H468" s="107"/>
      <c r="I468" s="107"/>
      <c r="J468" s="107"/>
      <c r="K468" s="107"/>
    </row>
    <row r="469" spans="1:11">
      <c r="A469" s="106"/>
      <c r="B469" s="107"/>
      <c r="C469" s="107"/>
      <c r="D469" s="107"/>
      <c r="E469" s="107"/>
      <c r="F469" s="107"/>
      <c r="G469" s="107"/>
      <c r="H469" s="107"/>
      <c r="I469" s="107"/>
      <c r="J469" s="107"/>
      <c r="K469" s="107"/>
    </row>
    <row r="470" spans="1:11">
      <c r="A470" s="106"/>
      <c r="B470" s="107"/>
      <c r="C470" s="107"/>
      <c r="D470" s="107"/>
      <c r="E470" s="107"/>
      <c r="F470" s="107"/>
      <c r="G470" s="107"/>
      <c r="H470" s="107"/>
      <c r="I470" s="107"/>
      <c r="J470" s="107"/>
      <c r="K470" s="107"/>
    </row>
    <row r="471" spans="1:11">
      <c r="A471" s="106"/>
      <c r="B471" s="107"/>
      <c r="C471" s="107"/>
      <c r="D471" s="107"/>
      <c r="E471" s="107"/>
      <c r="F471" s="107"/>
      <c r="G471" s="107"/>
      <c r="H471" s="107"/>
      <c r="I471" s="107"/>
      <c r="J471" s="107"/>
      <c r="K471" s="107"/>
    </row>
    <row r="472" spans="1:11">
      <c r="A472" s="106"/>
      <c r="B472" s="107"/>
      <c r="C472" s="107"/>
      <c r="D472" s="107"/>
      <c r="E472" s="107"/>
      <c r="F472" s="107"/>
      <c r="G472" s="107"/>
      <c r="H472" s="107"/>
      <c r="I472" s="107"/>
      <c r="J472" s="107"/>
      <c r="K472" s="107"/>
    </row>
    <row r="473" spans="1:11">
      <c r="A473" s="106"/>
      <c r="B473" s="107"/>
      <c r="C473" s="107"/>
      <c r="D473" s="107"/>
      <c r="E473" s="107"/>
      <c r="F473" s="107"/>
      <c r="G473" s="107"/>
      <c r="H473" s="107"/>
      <c r="I473" s="107"/>
      <c r="J473" s="107"/>
      <c r="K473" s="107"/>
    </row>
    <row r="474" spans="1:11">
      <c r="A474" s="106"/>
      <c r="B474" s="107"/>
      <c r="C474" s="107"/>
      <c r="D474" s="107"/>
      <c r="E474" s="107"/>
      <c r="F474" s="107"/>
      <c r="G474" s="107"/>
      <c r="H474" s="107"/>
      <c r="I474" s="107"/>
      <c r="J474" s="107"/>
      <c r="K474" s="107"/>
    </row>
    <row r="475" spans="1:11">
      <c r="A475" s="106"/>
      <c r="B475" s="107"/>
      <c r="C475" s="107"/>
      <c r="D475" s="107"/>
      <c r="E475" s="107"/>
      <c r="F475" s="107"/>
      <c r="G475" s="107"/>
      <c r="H475" s="107"/>
      <c r="I475" s="107"/>
      <c r="J475" s="107"/>
      <c r="K475" s="107"/>
    </row>
    <row r="476" spans="1:11">
      <c r="A476" s="106"/>
      <c r="B476" s="107"/>
      <c r="C476" s="107"/>
      <c r="D476" s="107"/>
      <c r="E476" s="107"/>
      <c r="F476" s="107"/>
      <c r="G476" s="107"/>
      <c r="H476" s="107"/>
      <c r="I476" s="107"/>
      <c r="J476" s="107"/>
      <c r="K476" s="107"/>
    </row>
    <row r="477" spans="1:11">
      <c r="A477" s="106"/>
      <c r="B477" s="107"/>
      <c r="C477" s="107"/>
      <c r="D477" s="107"/>
      <c r="E477" s="107"/>
      <c r="F477" s="107"/>
      <c r="G477" s="107"/>
      <c r="H477" s="107"/>
      <c r="I477" s="107"/>
      <c r="J477" s="107"/>
      <c r="K477" s="107"/>
    </row>
    <row r="478" spans="1:11">
      <c r="A478" s="106"/>
      <c r="B478" s="107"/>
      <c r="C478" s="107"/>
      <c r="D478" s="107"/>
      <c r="E478" s="107"/>
      <c r="F478" s="107"/>
      <c r="G478" s="107"/>
      <c r="H478" s="107"/>
      <c r="I478" s="107"/>
      <c r="J478" s="107"/>
      <c r="K478" s="107"/>
    </row>
    <row r="479" spans="1:11">
      <c r="A479" s="106"/>
      <c r="B479" s="107"/>
      <c r="C479" s="107"/>
      <c r="D479" s="107"/>
      <c r="E479" s="107"/>
      <c r="F479" s="107"/>
      <c r="G479" s="107"/>
      <c r="H479" s="107"/>
      <c r="I479" s="107"/>
      <c r="J479" s="107"/>
      <c r="K479" s="107"/>
    </row>
    <row r="480" spans="1:11">
      <c r="A480" s="106"/>
      <c r="B480" s="107"/>
      <c r="C480" s="107"/>
      <c r="D480" s="107"/>
      <c r="E480" s="107"/>
      <c r="F480" s="107"/>
      <c r="G480" s="107"/>
      <c r="H480" s="107"/>
      <c r="I480" s="107"/>
      <c r="J480" s="107"/>
      <c r="K480" s="107"/>
    </row>
    <row r="481" spans="1:11">
      <c r="A481" s="106"/>
      <c r="B481" s="107"/>
      <c r="C481" s="107"/>
      <c r="D481" s="107"/>
      <c r="E481" s="107"/>
      <c r="F481" s="107"/>
      <c r="G481" s="107"/>
      <c r="H481" s="107"/>
      <c r="I481" s="107"/>
      <c r="J481" s="107"/>
      <c r="K481" s="107"/>
    </row>
    <row r="482" spans="1:11">
      <c r="A482" s="106"/>
      <c r="B482" s="107"/>
      <c r="C482" s="107"/>
      <c r="D482" s="107"/>
      <c r="E482" s="107"/>
      <c r="F482" s="107"/>
      <c r="G482" s="107"/>
      <c r="H482" s="107"/>
      <c r="I482" s="107"/>
      <c r="J482" s="107"/>
      <c r="K482" s="107"/>
    </row>
    <row r="483" spans="1:11">
      <c r="A483" s="106"/>
      <c r="B483" s="107"/>
      <c r="C483" s="107"/>
      <c r="D483" s="107"/>
      <c r="E483" s="107"/>
      <c r="F483" s="107"/>
      <c r="G483" s="107"/>
      <c r="H483" s="107"/>
      <c r="I483" s="107"/>
      <c r="J483" s="107"/>
      <c r="K483" s="107"/>
    </row>
    <row r="484" spans="1:11">
      <c r="A484" s="106"/>
      <c r="B484" s="107"/>
      <c r="C484" s="107"/>
      <c r="D484" s="107"/>
      <c r="E484" s="107"/>
      <c r="F484" s="107"/>
      <c r="G484" s="107"/>
      <c r="H484" s="107"/>
      <c r="I484" s="107"/>
      <c r="J484" s="107"/>
      <c r="K484" s="107"/>
    </row>
    <row r="485" spans="1:11">
      <c r="A485" s="106"/>
      <c r="B485" s="107"/>
      <c r="C485" s="107"/>
      <c r="D485" s="107"/>
      <c r="E485" s="107"/>
      <c r="F485" s="107"/>
      <c r="G485" s="107"/>
      <c r="H485" s="107"/>
      <c r="I485" s="107"/>
      <c r="J485" s="107"/>
      <c r="K485" s="107"/>
    </row>
    <row r="486" spans="1:11">
      <c r="A486" s="106"/>
      <c r="B486" s="107"/>
      <c r="C486" s="107"/>
      <c r="D486" s="107"/>
      <c r="E486" s="107"/>
      <c r="F486" s="107"/>
      <c r="G486" s="107"/>
      <c r="H486" s="107"/>
      <c r="I486" s="107"/>
      <c r="J486" s="107"/>
      <c r="K486" s="107"/>
    </row>
    <row r="487" spans="1:11">
      <c r="A487" s="106"/>
      <c r="B487" s="107"/>
      <c r="C487" s="107"/>
      <c r="D487" s="107"/>
      <c r="E487" s="107"/>
      <c r="F487" s="107"/>
      <c r="G487" s="107"/>
      <c r="H487" s="107"/>
      <c r="I487" s="107"/>
      <c r="J487" s="107"/>
      <c r="K487" s="107"/>
    </row>
    <row r="488" spans="1:11">
      <c r="A488" s="106"/>
      <c r="B488" s="107"/>
      <c r="C488" s="107"/>
      <c r="D488" s="107"/>
      <c r="E488" s="107"/>
      <c r="F488" s="107"/>
      <c r="G488" s="107"/>
      <c r="H488" s="107"/>
      <c r="I488" s="107"/>
      <c r="J488" s="107"/>
      <c r="K488" s="107"/>
    </row>
    <row r="489" spans="1:11">
      <c r="A489" s="106"/>
      <c r="B489" s="107"/>
      <c r="C489" s="107"/>
      <c r="D489" s="107"/>
      <c r="E489" s="107"/>
      <c r="F489" s="107"/>
      <c r="G489" s="107"/>
      <c r="H489" s="107"/>
      <c r="I489" s="107"/>
      <c r="J489" s="107"/>
      <c r="K489" s="107"/>
    </row>
    <row r="490" spans="1:11">
      <c r="A490" s="106"/>
      <c r="B490" s="107"/>
      <c r="C490" s="107"/>
      <c r="D490" s="107"/>
      <c r="E490" s="107"/>
      <c r="F490" s="107"/>
      <c r="G490" s="107"/>
      <c r="H490" s="107"/>
      <c r="I490" s="107"/>
      <c r="J490" s="107"/>
      <c r="K490" s="107"/>
    </row>
    <row r="491" spans="1:11">
      <c r="A491" s="106"/>
      <c r="B491" s="107"/>
      <c r="C491" s="107"/>
      <c r="D491" s="107"/>
      <c r="E491" s="107"/>
      <c r="F491" s="107"/>
      <c r="G491" s="107"/>
      <c r="H491" s="107"/>
      <c r="I491" s="107"/>
      <c r="J491" s="107"/>
      <c r="K491" s="107"/>
    </row>
    <row r="492" spans="1:11">
      <c r="A492" s="106"/>
      <c r="B492" s="107"/>
      <c r="C492" s="107"/>
      <c r="D492" s="107"/>
      <c r="E492" s="107"/>
      <c r="F492" s="107"/>
      <c r="G492" s="107"/>
      <c r="H492" s="107"/>
      <c r="I492" s="107"/>
      <c r="J492" s="107"/>
      <c r="K492" s="107"/>
    </row>
    <row r="493" spans="1:11">
      <c r="A493" s="106"/>
      <c r="B493" s="107"/>
      <c r="C493" s="107"/>
      <c r="D493" s="107"/>
      <c r="E493" s="107"/>
      <c r="F493" s="107"/>
      <c r="G493" s="107"/>
      <c r="H493" s="107"/>
      <c r="I493" s="107"/>
      <c r="J493" s="107"/>
      <c r="K493" s="107"/>
    </row>
    <row r="494" spans="1:11">
      <c r="A494" s="106"/>
      <c r="B494" s="107"/>
      <c r="C494" s="107"/>
      <c r="D494" s="107"/>
      <c r="E494" s="107"/>
      <c r="F494" s="107"/>
      <c r="G494" s="107"/>
      <c r="H494" s="107"/>
      <c r="I494" s="107"/>
      <c r="J494" s="107"/>
      <c r="K494" s="107"/>
    </row>
    <row r="495" spans="1:11">
      <c r="A495" s="106"/>
      <c r="B495" s="107"/>
      <c r="C495" s="107"/>
      <c r="D495" s="107"/>
      <c r="E495" s="107"/>
      <c r="F495" s="107"/>
      <c r="G495" s="107"/>
      <c r="H495" s="107"/>
      <c r="I495" s="107"/>
      <c r="J495" s="107"/>
      <c r="K495" s="107"/>
    </row>
    <row r="496" spans="1:11">
      <c r="A496" s="106"/>
      <c r="B496" s="107"/>
      <c r="C496" s="107"/>
      <c r="D496" s="107"/>
      <c r="E496" s="107"/>
      <c r="F496" s="107"/>
      <c r="G496" s="107"/>
      <c r="H496" s="107"/>
      <c r="I496" s="107"/>
      <c r="J496" s="107"/>
      <c r="K496" s="107"/>
    </row>
    <row r="497" spans="1:11">
      <c r="A497" s="106"/>
      <c r="B497" s="107"/>
      <c r="C497" s="107"/>
      <c r="D497" s="107"/>
      <c r="E497" s="107"/>
      <c r="F497" s="107"/>
      <c r="G497" s="107"/>
      <c r="H497" s="107"/>
      <c r="I497" s="107"/>
      <c r="J497" s="107"/>
      <c r="K497" s="107"/>
    </row>
    <row r="498" spans="1:11">
      <c r="A498" s="106"/>
      <c r="B498" s="107"/>
      <c r="C498" s="107"/>
      <c r="D498" s="107"/>
      <c r="E498" s="107"/>
      <c r="F498" s="107"/>
      <c r="G498" s="107"/>
      <c r="H498" s="107"/>
      <c r="I498" s="107"/>
      <c r="J498" s="107"/>
      <c r="K498" s="107"/>
    </row>
    <row r="499" spans="1:11">
      <c r="A499" s="106"/>
      <c r="B499" s="107"/>
      <c r="C499" s="107"/>
      <c r="D499" s="107"/>
      <c r="E499" s="107"/>
      <c r="F499" s="107"/>
      <c r="G499" s="107"/>
      <c r="H499" s="107"/>
      <c r="I499" s="107"/>
      <c r="J499" s="107"/>
      <c r="K499" s="107"/>
    </row>
    <row r="500" spans="1:11">
      <c r="A500" s="106"/>
      <c r="B500" s="107"/>
      <c r="C500" s="107"/>
      <c r="D500" s="107"/>
      <c r="E500" s="107"/>
      <c r="F500" s="107"/>
      <c r="G500" s="107"/>
      <c r="H500" s="107"/>
      <c r="I500" s="107"/>
      <c r="J500" s="107"/>
      <c r="K500" s="107"/>
    </row>
    <row r="501" spans="1:11">
      <c r="A501" s="106"/>
      <c r="B501" s="107"/>
      <c r="C501" s="107"/>
      <c r="D501" s="107"/>
      <c r="E501" s="107"/>
      <c r="F501" s="107"/>
      <c r="G501" s="107"/>
      <c r="H501" s="107"/>
      <c r="I501" s="107"/>
      <c r="J501" s="107"/>
      <c r="K501" s="107"/>
    </row>
    <row r="502" spans="1:11">
      <c r="A502" s="106"/>
      <c r="B502" s="107"/>
      <c r="C502" s="107"/>
      <c r="D502" s="107"/>
      <c r="E502" s="107"/>
      <c r="F502" s="107"/>
      <c r="G502" s="107"/>
      <c r="H502" s="107"/>
      <c r="I502" s="107"/>
      <c r="J502" s="107"/>
      <c r="K502" s="107"/>
    </row>
    <row r="503" spans="1:11">
      <c r="A503" s="106"/>
      <c r="B503" s="107"/>
      <c r="C503" s="107"/>
      <c r="D503" s="107"/>
      <c r="E503" s="107"/>
      <c r="F503" s="107"/>
      <c r="G503" s="107"/>
      <c r="H503" s="107"/>
      <c r="I503" s="107"/>
      <c r="J503" s="107"/>
      <c r="K503" s="107"/>
    </row>
    <row r="504" spans="1:11">
      <c r="A504" s="106"/>
      <c r="B504" s="107"/>
      <c r="C504" s="107"/>
      <c r="D504" s="107"/>
      <c r="E504" s="107"/>
      <c r="F504" s="107"/>
      <c r="G504" s="107"/>
      <c r="H504" s="107"/>
      <c r="I504" s="107"/>
      <c r="J504" s="107"/>
      <c r="K504" s="107"/>
    </row>
    <row r="505" spans="1:11">
      <c r="A505" s="106"/>
      <c r="B505" s="107"/>
      <c r="C505" s="107"/>
      <c r="D505" s="107"/>
      <c r="E505" s="107"/>
      <c r="F505" s="107"/>
      <c r="G505" s="107"/>
      <c r="H505" s="107"/>
      <c r="I505" s="107"/>
      <c r="J505" s="107"/>
      <c r="K505" s="107"/>
    </row>
    <row r="506" spans="1:11">
      <c r="A506" s="106"/>
      <c r="B506" s="107"/>
      <c r="C506" s="107"/>
      <c r="D506" s="107"/>
      <c r="E506" s="107"/>
      <c r="F506" s="107"/>
      <c r="G506" s="107"/>
      <c r="H506" s="107"/>
      <c r="I506" s="107"/>
      <c r="J506" s="107"/>
      <c r="K506" s="107"/>
    </row>
    <row r="507" spans="1:11">
      <c r="A507" s="106"/>
      <c r="B507" s="107"/>
      <c r="C507" s="107"/>
      <c r="D507" s="107"/>
      <c r="E507" s="107"/>
      <c r="F507" s="107"/>
      <c r="G507" s="107"/>
      <c r="H507" s="107"/>
      <c r="I507" s="107"/>
      <c r="J507" s="107"/>
      <c r="K507" s="107"/>
    </row>
    <row r="508" spans="1:11">
      <c r="A508" s="106"/>
      <c r="B508" s="107"/>
      <c r="C508" s="107"/>
      <c r="D508" s="107"/>
      <c r="E508" s="107"/>
      <c r="F508" s="107"/>
      <c r="G508" s="107"/>
      <c r="H508" s="107"/>
      <c r="I508" s="107"/>
      <c r="J508" s="107"/>
      <c r="K508" s="107"/>
    </row>
    <row r="509" spans="1:11">
      <c r="A509" s="106"/>
      <c r="B509" s="107"/>
      <c r="C509" s="107"/>
      <c r="D509" s="107"/>
      <c r="E509" s="107"/>
      <c r="F509" s="107"/>
      <c r="G509" s="107"/>
      <c r="H509" s="107"/>
      <c r="I509" s="107"/>
      <c r="J509" s="107"/>
      <c r="K509" s="107"/>
    </row>
    <row r="510" spans="1:11">
      <c r="A510" s="106"/>
      <c r="B510" s="107"/>
      <c r="C510" s="107"/>
      <c r="D510" s="107"/>
      <c r="E510" s="107"/>
      <c r="F510" s="107"/>
      <c r="G510" s="107"/>
      <c r="H510" s="107"/>
      <c r="I510" s="107"/>
      <c r="J510" s="107"/>
      <c r="K510" s="107"/>
    </row>
    <row r="511" spans="1:11">
      <c r="A511" s="106"/>
      <c r="B511" s="107"/>
      <c r="C511" s="107"/>
      <c r="D511" s="107"/>
      <c r="E511" s="107"/>
      <c r="F511" s="107"/>
      <c r="G511" s="107"/>
      <c r="H511" s="107"/>
      <c r="I511" s="107"/>
      <c r="J511" s="107"/>
      <c r="K511" s="107"/>
    </row>
    <row r="512" spans="1:11">
      <c r="A512" s="106"/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</row>
    <row r="513" spans="1:11">
      <c r="A513" s="106"/>
      <c r="B513" s="107"/>
      <c r="C513" s="107"/>
      <c r="D513" s="107"/>
      <c r="E513" s="107"/>
      <c r="F513" s="107"/>
      <c r="G513" s="107"/>
      <c r="H513" s="107"/>
      <c r="I513" s="107"/>
      <c r="J513" s="107"/>
      <c r="K513" s="107"/>
    </row>
    <row r="514" spans="1:11">
      <c r="A514" s="106"/>
      <c r="B514" s="107"/>
      <c r="C514" s="107"/>
      <c r="D514" s="107"/>
      <c r="E514" s="107"/>
      <c r="F514" s="107"/>
      <c r="G514" s="107"/>
      <c r="H514" s="107"/>
      <c r="I514" s="107"/>
      <c r="J514" s="107"/>
      <c r="K514" s="107"/>
    </row>
    <row r="515" spans="1:11">
      <c r="A515" s="106"/>
      <c r="B515" s="107"/>
      <c r="C515" s="107"/>
      <c r="D515" s="107"/>
      <c r="E515" s="107"/>
      <c r="F515" s="107"/>
      <c r="G515" s="107"/>
      <c r="H515" s="107"/>
      <c r="I515" s="107"/>
      <c r="J515" s="107"/>
      <c r="K515" s="107"/>
    </row>
    <row r="516" spans="1:11">
      <c r="A516" s="106"/>
      <c r="B516" s="107"/>
      <c r="C516" s="107"/>
      <c r="D516" s="107"/>
      <c r="E516" s="107"/>
      <c r="F516" s="107"/>
      <c r="G516" s="107"/>
      <c r="H516" s="107"/>
      <c r="I516" s="107"/>
      <c r="J516" s="107"/>
      <c r="K516" s="107"/>
    </row>
    <row r="517" spans="1:11">
      <c r="A517" s="106"/>
      <c r="B517" s="107"/>
      <c r="C517" s="107"/>
      <c r="D517" s="107"/>
      <c r="E517" s="107"/>
      <c r="F517" s="107"/>
      <c r="G517" s="107"/>
      <c r="H517" s="107"/>
      <c r="I517" s="107"/>
      <c r="J517" s="107"/>
      <c r="K517" s="107"/>
    </row>
    <row r="518" spans="1:11">
      <c r="A518" s="106"/>
      <c r="B518" s="107"/>
      <c r="C518" s="107"/>
      <c r="D518" s="107"/>
      <c r="E518" s="107"/>
      <c r="F518" s="107"/>
      <c r="G518" s="107"/>
      <c r="H518" s="107"/>
      <c r="I518" s="107"/>
      <c r="J518" s="107"/>
      <c r="K518" s="107"/>
    </row>
    <row r="519" spans="1:11">
      <c r="A519" s="106"/>
      <c r="B519" s="107"/>
      <c r="C519" s="107"/>
      <c r="D519" s="107"/>
      <c r="E519" s="107"/>
      <c r="F519" s="107"/>
      <c r="G519" s="107"/>
      <c r="H519" s="107"/>
      <c r="I519" s="107"/>
      <c r="J519" s="107"/>
      <c r="K519" s="107"/>
    </row>
    <row r="520" spans="1:11">
      <c r="A520" s="106"/>
      <c r="B520" s="107"/>
      <c r="C520" s="107"/>
      <c r="D520" s="107"/>
      <c r="E520" s="107"/>
      <c r="F520" s="107"/>
      <c r="G520" s="107"/>
      <c r="H520" s="107"/>
      <c r="I520" s="107"/>
      <c r="J520" s="107"/>
      <c r="K520" s="107"/>
    </row>
    <row r="521" spans="1:11">
      <c r="A521" s="106"/>
      <c r="B521" s="107"/>
      <c r="C521" s="107"/>
      <c r="D521" s="107"/>
      <c r="E521" s="107"/>
      <c r="F521" s="107"/>
      <c r="G521" s="107"/>
      <c r="H521" s="107"/>
      <c r="I521" s="107"/>
      <c r="J521" s="107"/>
      <c r="K521" s="107"/>
    </row>
    <row r="522" spans="1:11">
      <c r="A522" s="106"/>
      <c r="B522" s="107"/>
      <c r="C522" s="107"/>
      <c r="D522" s="107"/>
      <c r="E522" s="107"/>
      <c r="F522" s="107"/>
      <c r="G522" s="107"/>
      <c r="H522" s="107"/>
      <c r="I522" s="107"/>
      <c r="J522" s="107"/>
      <c r="K522" s="107"/>
    </row>
    <row r="523" spans="1:11">
      <c r="A523" s="106"/>
      <c r="B523" s="107"/>
      <c r="C523" s="107"/>
      <c r="D523" s="107"/>
      <c r="E523" s="107"/>
      <c r="F523" s="107"/>
      <c r="G523" s="107"/>
      <c r="H523" s="107"/>
      <c r="I523" s="107"/>
      <c r="J523" s="107"/>
      <c r="K523" s="107"/>
    </row>
    <row r="524" spans="1:11">
      <c r="A524" s="106"/>
      <c r="B524" s="107"/>
      <c r="C524" s="107"/>
      <c r="D524" s="107"/>
      <c r="E524" s="107"/>
      <c r="F524" s="107"/>
      <c r="G524" s="107"/>
      <c r="H524" s="107"/>
      <c r="I524" s="107"/>
      <c r="J524" s="107"/>
      <c r="K524" s="107"/>
    </row>
    <row r="525" spans="1:11">
      <c r="A525" s="106"/>
      <c r="B525" s="107"/>
      <c r="C525" s="107"/>
      <c r="D525" s="107"/>
      <c r="E525" s="107"/>
      <c r="F525" s="107"/>
      <c r="G525" s="107"/>
      <c r="H525" s="107"/>
      <c r="I525" s="107"/>
      <c r="J525" s="107"/>
      <c r="K525" s="107"/>
    </row>
    <row r="526" spans="1:11">
      <c r="A526" s="106"/>
      <c r="B526" s="107"/>
      <c r="C526" s="107"/>
      <c r="D526" s="107"/>
      <c r="E526" s="107"/>
      <c r="F526" s="107"/>
      <c r="G526" s="107"/>
      <c r="H526" s="107"/>
      <c r="I526" s="107"/>
      <c r="J526" s="107"/>
      <c r="K526" s="107"/>
    </row>
    <row r="527" spans="1:11">
      <c r="A527" s="106"/>
      <c r="B527" s="107"/>
      <c r="C527" s="107"/>
      <c r="D527" s="107"/>
      <c r="E527" s="107"/>
      <c r="F527" s="107"/>
      <c r="G527" s="107"/>
      <c r="H527" s="107"/>
      <c r="I527" s="107"/>
      <c r="J527" s="107"/>
      <c r="K527" s="107"/>
    </row>
    <row r="528" spans="1:11">
      <c r="A528" s="106"/>
      <c r="B528" s="107"/>
      <c r="C528" s="107"/>
      <c r="D528" s="107"/>
      <c r="E528" s="107"/>
      <c r="F528" s="107"/>
      <c r="G528" s="107"/>
      <c r="H528" s="107"/>
      <c r="I528" s="107"/>
      <c r="J528" s="107"/>
      <c r="K528" s="107"/>
    </row>
    <row r="529" spans="1:11">
      <c r="A529" s="106"/>
      <c r="B529" s="107"/>
      <c r="C529" s="107"/>
      <c r="D529" s="107"/>
      <c r="E529" s="107"/>
      <c r="F529" s="107"/>
      <c r="G529" s="107"/>
      <c r="H529" s="107"/>
      <c r="I529" s="107"/>
      <c r="J529" s="107"/>
      <c r="K529" s="107"/>
    </row>
    <row r="530" spans="1:11">
      <c r="A530" s="106"/>
      <c r="B530" s="107"/>
      <c r="C530" s="107"/>
      <c r="D530" s="107"/>
      <c r="E530" s="107"/>
      <c r="F530" s="107"/>
      <c r="G530" s="107"/>
      <c r="H530" s="107"/>
      <c r="I530" s="107"/>
      <c r="J530" s="107"/>
      <c r="K530" s="107"/>
    </row>
    <row r="531" spans="1:11">
      <c r="A531" s="106"/>
      <c r="B531" s="107"/>
      <c r="C531" s="107"/>
      <c r="D531" s="107"/>
      <c r="E531" s="107"/>
      <c r="F531" s="107"/>
      <c r="G531" s="107"/>
      <c r="H531" s="107"/>
      <c r="I531" s="107"/>
      <c r="J531" s="107"/>
      <c r="K531" s="107"/>
    </row>
    <row r="532" spans="1:11">
      <c r="A532" s="106"/>
      <c r="B532" s="107"/>
      <c r="C532" s="107"/>
      <c r="D532" s="107"/>
      <c r="E532" s="107"/>
      <c r="F532" s="107"/>
      <c r="G532" s="107"/>
      <c r="H532" s="107"/>
      <c r="I532" s="107"/>
      <c r="J532" s="107"/>
      <c r="K532" s="107"/>
    </row>
    <row r="533" spans="1:11">
      <c r="A533" s="106"/>
      <c r="B533" s="107"/>
      <c r="C533" s="107"/>
      <c r="D533" s="107"/>
      <c r="E533" s="107"/>
      <c r="F533" s="107"/>
      <c r="G533" s="107"/>
      <c r="H533" s="107"/>
      <c r="I533" s="107"/>
      <c r="J533" s="107"/>
      <c r="K533" s="107"/>
    </row>
    <row r="534" spans="1:11">
      <c r="A534" s="106"/>
      <c r="B534" s="107"/>
      <c r="C534" s="107"/>
      <c r="D534" s="107"/>
      <c r="E534" s="107"/>
      <c r="F534" s="107"/>
      <c r="G534" s="107"/>
      <c r="H534" s="107"/>
      <c r="I534" s="107"/>
      <c r="J534" s="107"/>
      <c r="K534" s="107"/>
    </row>
    <row r="535" spans="1:11">
      <c r="A535" s="106"/>
      <c r="B535" s="107"/>
      <c r="C535" s="107"/>
      <c r="D535" s="107"/>
      <c r="E535" s="107"/>
      <c r="F535" s="107"/>
      <c r="G535" s="107"/>
      <c r="H535" s="107"/>
      <c r="I535" s="107"/>
      <c r="J535" s="107"/>
      <c r="K535" s="107"/>
    </row>
    <row r="536" spans="1:11">
      <c r="A536" s="106"/>
      <c r="B536" s="107"/>
      <c r="C536" s="107"/>
      <c r="D536" s="107"/>
      <c r="E536" s="107"/>
      <c r="F536" s="107"/>
      <c r="G536" s="107"/>
      <c r="H536" s="107"/>
      <c r="I536" s="107"/>
      <c r="J536" s="107"/>
      <c r="K536" s="107"/>
    </row>
    <row r="537" spans="1:11">
      <c r="A537" s="106"/>
      <c r="B537" s="107"/>
      <c r="C537" s="107"/>
      <c r="D537" s="107"/>
      <c r="E537" s="107"/>
      <c r="F537" s="107"/>
      <c r="G537" s="107"/>
      <c r="H537" s="107"/>
      <c r="I537" s="107"/>
      <c r="J537" s="107"/>
      <c r="K537" s="107"/>
    </row>
    <row r="538" spans="1:11">
      <c r="A538" s="106"/>
      <c r="B538" s="107"/>
      <c r="C538" s="107"/>
      <c r="D538" s="107"/>
      <c r="E538" s="107"/>
      <c r="F538" s="107"/>
      <c r="G538" s="107"/>
      <c r="H538" s="107"/>
      <c r="I538" s="107"/>
      <c r="J538" s="107"/>
      <c r="K538" s="107"/>
    </row>
    <row r="539" spans="1:11">
      <c r="A539" s="106"/>
      <c r="B539" s="107"/>
      <c r="C539" s="107"/>
      <c r="D539" s="107"/>
      <c r="E539" s="107"/>
      <c r="F539" s="107"/>
      <c r="G539" s="107"/>
      <c r="H539" s="107"/>
      <c r="I539" s="107"/>
      <c r="J539" s="107"/>
      <c r="K539" s="107"/>
    </row>
    <row r="540" spans="1:11">
      <c r="A540" s="106"/>
      <c r="B540" s="107"/>
      <c r="C540" s="107"/>
      <c r="D540" s="107"/>
      <c r="E540" s="107"/>
      <c r="F540" s="107"/>
      <c r="G540" s="107"/>
      <c r="H540" s="107"/>
      <c r="I540" s="107"/>
      <c r="J540" s="107"/>
      <c r="K540" s="107"/>
    </row>
    <row r="541" spans="1:11">
      <c r="A541" s="106"/>
      <c r="B541" s="107"/>
      <c r="C541" s="107"/>
      <c r="D541" s="107"/>
      <c r="E541" s="107"/>
      <c r="F541" s="107"/>
      <c r="G541" s="107"/>
      <c r="H541" s="107"/>
      <c r="I541" s="107"/>
      <c r="J541" s="107"/>
      <c r="K541" s="107"/>
    </row>
    <row r="542" spans="1:11">
      <c r="A542" s="106"/>
      <c r="B542" s="107"/>
      <c r="C542" s="107"/>
      <c r="D542" s="107"/>
      <c r="E542" s="107"/>
      <c r="F542" s="107"/>
      <c r="G542" s="107"/>
      <c r="H542" s="107"/>
      <c r="I542" s="107"/>
      <c r="J542" s="107"/>
      <c r="K542" s="107"/>
    </row>
    <row r="543" spans="1:11">
      <c r="A543" s="106"/>
      <c r="B543" s="107"/>
      <c r="C543" s="107"/>
      <c r="D543" s="107"/>
      <c r="E543" s="107"/>
      <c r="F543" s="107"/>
      <c r="G543" s="107"/>
      <c r="H543" s="107"/>
      <c r="I543" s="107"/>
      <c r="J543" s="107"/>
      <c r="K543" s="107"/>
    </row>
    <row r="544" spans="1:11">
      <c r="A544" s="106"/>
      <c r="B544" s="107"/>
      <c r="C544" s="107"/>
      <c r="D544" s="107"/>
      <c r="E544" s="107"/>
      <c r="F544" s="107"/>
      <c r="G544" s="107"/>
      <c r="H544" s="107"/>
      <c r="I544" s="107"/>
      <c r="J544" s="107"/>
      <c r="K544" s="107"/>
    </row>
    <row r="545" spans="1:11">
      <c r="A545" s="106"/>
      <c r="B545" s="107"/>
      <c r="C545" s="107"/>
      <c r="D545" s="107"/>
      <c r="E545" s="107"/>
      <c r="F545" s="107"/>
      <c r="G545" s="107"/>
      <c r="H545" s="107"/>
      <c r="I545" s="107"/>
      <c r="J545" s="107"/>
      <c r="K545" s="107"/>
    </row>
    <row r="546" spans="1:11">
      <c r="A546" s="106"/>
      <c r="B546" s="107"/>
      <c r="C546" s="107"/>
      <c r="D546" s="107"/>
      <c r="E546" s="107"/>
      <c r="F546" s="107"/>
      <c r="G546" s="107"/>
      <c r="H546" s="107"/>
      <c r="I546" s="107"/>
      <c r="J546" s="107"/>
      <c r="K546" s="107"/>
    </row>
    <row r="547" spans="1:11">
      <c r="A547" s="106"/>
      <c r="B547" s="107"/>
      <c r="C547" s="107"/>
      <c r="D547" s="107"/>
      <c r="E547" s="107"/>
      <c r="F547" s="107"/>
      <c r="G547" s="107"/>
      <c r="H547" s="107"/>
      <c r="I547" s="107"/>
      <c r="J547" s="107"/>
      <c r="K547" s="107"/>
    </row>
    <row r="548" spans="1:11">
      <c r="A548" s="106"/>
      <c r="B548" s="107"/>
      <c r="C548" s="107"/>
      <c r="D548" s="107"/>
      <c r="E548" s="107"/>
      <c r="F548" s="107"/>
      <c r="G548" s="107"/>
      <c r="H548" s="107"/>
      <c r="I548" s="107"/>
      <c r="J548" s="107"/>
      <c r="K548" s="107"/>
    </row>
    <row r="549" spans="1:11">
      <c r="A549" s="106"/>
      <c r="B549" s="107"/>
      <c r="C549" s="107"/>
      <c r="D549" s="107"/>
      <c r="E549" s="107"/>
      <c r="F549" s="107"/>
      <c r="G549" s="107"/>
      <c r="H549" s="107"/>
      <c r="I549" s="107"/>
      <c r="J549" s="107"/>
      <c r="K549" s="107"/>
    </row>
    <row r="550" spans="1:11">
      <c r="A550" s="106"/>
      <c r="B550" s="107"/>
      <c r="C550" s="107"/>
      <c r="D550" s="107"/>
      <c r="E550" s="107"/>
      <c r="F550" s="107"/>
      <c r="G550" s="107"/>
      <c r="H550" s="107"/>
      <c r="I550" s="107"/>
      <c r="J550" s="107"/>
      <c r="K550" s="107"/>
    </row>
    <row r="551" spans="1:11">
      <c r="A551" s="106"/>
      <c r="B551" s="107"/>
      <c r="C551" s="107"/>
      <c r="D551" s="107"/>
      <c r="E551" s="107"/>
      <c r="F551" s="107"/>
      <c r="G551" s="107"/>
      <c r="H551" s="107"/>
      <c r="I551" s="107"/>
      <c r="J551" s="107"/>
      <c r="K551" s="107"/>
    </row>
    <row r="552" spans="1:11">
      <c r="A552" s="106"/>
      <c r="B552" s="107"/>
      <c r="C552" s="107"/>
      <c r="D552" s="107"/>
      <c r="E552" s="107"/>
      <c r="F552" s="107"/>
      <c r="G552" s="107"/>
      <c r="H552" s="107"/>
      <c r="I552" s="107"/>
      <c r="J552" s="107"/>
      <c r="K552" s="107"/>
    </row>
    <row r="553" spans="1:11">
      <c r="A553" s="106"/>
      <c r="B553" s="107"/>
      <c r="C553" s="107"/>
      <c r="D553" s="107"/>
      <c r="E553" s="107"/>
      <c r="F553" s="107"/>
      <c r="G553" s="107"/>
      <c r="H553" s="107"/>
      <c r="I553" s="107"/>
      <c r="J553" s="107"/>
      <c r="K553" s="107"/>
    </row>
    <row r="554" spans="1:11">
      <c r="A554" s="106"/>
      <c r="B554" s="107"/>
      <c r="C554" s="107"/>
      <c r="D554" s="107"/>
      <c r="E554" s="107"/>
      <c r="F554" s="107"/>
      <c r="G554" s="107"/>
      <c r="H554" s="107"/>
      <c r="I554" s="107"/>
      <c r="J554" s="107"/>
      <c r="K554" s="107"/>
    </row>
    <row r="555" spans="1:11">
      <c r="A555" s="106"/>
      <c r="B555" s="107"/>
      <c r="C555" s="107"/>
      <c r="D555" s="107"/>
      <c r="E555" s="107"/>
      <c r="F555" s="107"/>
      <c r="G555" s="107"/>
      <c r="H555" s="107"/>
      <c r="I555" s="107"/>
      <c r="J555" s="107"/>
      <c r="K555" s="107"/>
    </row>
    <row r="556" spans="1:11">
      <c r="A556" s="106"/>
      <c r="B556" s="107"/>
      <c r="C556" s="107"/>
      <c r="D556" s="107"/>
      <c r="E556" s="107"/>
      <c r="F556" s="107"/>
      <c r="G556" s="107"/>
      <c r="H556" s="107"/>
      <c r="I556" s="107"/>
      <c r="J556" s="107"/>
      <c r="K556" s="107"/>
    </row>
    <row r="557" spans="1:11">
      <c r="A557" s="106"/>
      <c r="B557" s="107"/>
      <c r="C557" s="107"/>
      <c r="D557" s="107"/>
      <c r="E557" s="107"/>
      <c r="F557" s="107"/>
      <c r="G557" s="107"/>
      <c r="H557" s="107"/>
      <c r="I557" s="107"/>
      <c r="J557" s="107"/>
      <c r="K557" s="107"/>
    </row>
    <row r="558" spans="1:11">
      <c r="A558" s="106"/>
      <c r="B558" s="107"/>
      <c r="C558" s="107"/>
      <c r="D558" s="107"/>
      <c r="E558" s="107"/>
      <c r="F558" s="107"/>
      <c r="G558" s="107"/>
      <c r="H558" s="107"/>
      <c r="I558" s="107"/>
      <c r="J558" s="107"/>
      <c r="K558" s="107"/>
    </row>
    <row r="559" spans="1:11">
      <c r="A559" s="106"/>
      <c r="B559" s="107"/>
      <c r="C559" s="107"/>
      <c r="D559" s="107"/>
      <c r="E559" s="107"/>
      <c r="F559" s="107"/>
      <c r="G559" s="107"/>
      <c r="H559" s="107"/>
      <c r="I559" s="107"/>
      <c r="J559" s="107"/>
      <c r="K559" s="107"/>
    </row>
    <row r="560" spans="1:11">
      <c r="A560" s="106"/>
      <c r="B560" s="107"/>
      <c r="C560" s="107"/>
      <c r="D560" s="107"/>
      <c r="E560" s="107"/>
      <c r="F560" s="107"/>
      <c r="G560" s="107"/>
      <c r="H560" s="107"/>
      <c r="I560" s="107"/>
      <c r="J560" s="107"/>
      <c r="K560" s="107"/>
    </row>
    <row r="561" spans="1:11">
      <c r="A561" s="106"/>
      <c r="B561" s="107"/>
      <c r="C561" s="107"/>
      <c r="D561" s="107"/>
      <c r="E561" s="107"/>
      <c r="F561" s="107"/>
      <c r="G561" s="107"/>
      <c r="H561" s="107"/>
      <c r="I561" s="107"/>
      <c r="J561" s="107"/>
      <c r="K561" s="107"/>
    </row>
    <row r="562" spans="1:11">
      <c r="A562" s="106"/>
      <c r="B562" s="107"/>
      <c r="C562" s="107"/>
      <c r="D562" s="107"/>
      <c r="E562" s="107"/>
      <c r="F562" s="107"/>
      <c r="G562" s="107"/>
      <c r="H562" s="107"/>
      <c r="I562" s="107"/>
      <c r="J562" s="107"/>
      <c r="K562" s="107"/>
    </row>
    <row r="563" spans="1:11">
      <c r="A563" s="106"/>
      <c r="B563" s="107"/>
      <c r="C563" s="107"/>
      <c r="D563" s="107"/>
      <c r="E563" s="107"/>
      <c r="F563" s="107"/>
      <c r="G563" s="107"/>
      <c r="H563" s="107"/>
      <c r="I563" s="107"/>
      <c r="J563" s="107"/>
      <c r="K563" s="107"/>
    </row>
    <row r="564" spans="1:11">
      <c r="A564" s="106"/>
      <c r="B564" s="107"/>
      <c r="C564" s="107"/>
      <c r="D564" s="107"/>
      <c r="E564" s="107"/>
      <c r="F564" s="107"/>
      <c r="G564" s="107"/>
      <c r="H564" s="107"/>
      <c r="I564" s="107"/>
      <c r="J564" s="107"/>
      <c r="K564" s="107"/>
    </row>
    <row r="565" spans="1:11">
      <c r="A565" s="106"/>
      <c r="B565" s="107"/>
      <c r="C565" s="107"/>
      <c r="D565" s="107"/>
      <c r="E565" s="107"/>
      <c r="F565" s="107"/>
      <c r="G565" s="107"/>
      <c r="H565" s="107"/>
      <c r="I565" s="107"/>
      <c r="J565" s="107"/>
      <c r="K565" s="107"/>
    </row>
    <row r="566" spans="1:11">
      <c r="A566" s="106"/>
      <c r="B566" s="107"/>
      <c r="C566" s="107"/>
      <c r="D566" s="107"/>
      <c r="E566" s="107"/>
      <c r="F566" s="107"/>
      <c r="G566" s="107"/>
      <c r="H566" s="107"/>
      <c r="I566" s="107"/>
      <c r="J566" s="107"/>
      <c r="K566" s="107"/>
    </row>
    <row r="567" spans="1:11">
      <c r="A567" s="106"/>
      <c r="B567" s="107"/>
      <c r="C567" s="107"/>
      <c r="D567" s="107"/>
      <c r="E567" s="107"/>
      <c r="F567" s="107"/>
      <c r="G567" s="107"/>
      <c r="H567" s="107"/>
      <c r="I567" s="107"/>
      <c r="J567" s="107"/>
      <c r="K567" s="107"/>
    </row>
    <row r="568" spans="1:11">
      <c r="A568" s="106"/>
      <c r="B568" s="107"/>
      <c r="C568" s="107"/>
      <c r="D568" s="107"/>
      <c r="E568" s="107"/>
      <c r="F568" s="107"/>
      <c r="G568" s="107"/>
      <c r="H568" s="107"/>
      <c r="I568" s="107"/>
      <c r="J568" s="107"/>
      <c r="K568" s="107"/>
    </row>
    <row r="569" spans="1:11">
      <c r="A569" s="106"/>
      <c r="B569" s="107"/>
      <c r="C569" s="107"/>
      <c r="D569" s="107"/>
      <c r="E569" s="107"/>
      <c r="F569" s="107"/>
      <c r="G569" s="107"/>
      <c r="H569" s="107"/>
      <c r="I569" s="107"/>
      <c r="J569" s="107"/>
      <c r="K569" s="107"/>
    </row>
    <row r="570" spans="1:11">
      <c r="A570" s="106"/>
      <c r="B570" s="107"/>
      <c r="C570" s="107"/>
      <c r="D570" s="107"/>
      <c r="E570" s="107"/>
      <c r="F570" s="107"/>
      <c r="G570" s="107"/>
      <c r="H570" s="107"/>
      <c r="I570" s="107"/>
      <c r="J570" s="107"/>
      <c r="K570" s="107"/>
    </row>
    <row r="571" spans="1:11">
      <c r="A571" s="106"/>
      <c r="B571" s="107"/>
      <c r="C571" s="107"/>
      <c r="D571" s="107"/>
      <c r="E571" s="107"/>
      <c r="F571" s="107"/>
      <c r="G571" s="107"/>
      <c r="H571" s="107"/>
      <c r="I571" s="107"/>
      <c r="J571" s="107"/>
      <c r="K571" s="107"/>
    </row>
    <row r="572" spans="1:11">
      <c r="A572" s="106"/>
      <c r="B572" s="107"/>
      <c r="C572" s="107"/>
      <c r="D572" s="107"/>
      <c r="E572" s="107"/>
      <c r="F572" s="107"/>
      <c r="G572" s="107"/>
      <c r="H572" s="107"/>
      <c r="I572" s="107"/>
      <c r="J572" s="107"/>
      <c r="K572" s="107"/>
    </row>
    <row r="573" spans="1:11">
      <c r="A573" s="106"/>
      <c r="B573" s="107"/>
      <c r="C573" s="107"/>
      <c r="D573" s="107"/>
      <c r="E573" s="107"/>
      <c r="F573" s="107"/>
      <c r="G573" s="107"/>
      <c r="H573" s="107"/>
      <c r="I573" s="107"/>
      <c r="J573" s="107"/>
      <c r="K573" s="107"/>
    </row>
    <row r="574" spans="1:11">
      <c r="A574" s="106"/>
      <c r="B574" s="107"/>
      <c r="C574" s="107"/>
      <c r="D574" s="107"/>
      <c r="E574" s="107"/>
      <c r="F574" s="107"/>
      <c r="G574" s="107"/>
      <c r="H574" s="107"/>
      <c r="I574" s="107"/>
      <c r="J574" s="107"/>
      <c r="K574" s="107"/>
    </row>
    <row r="575" spans="1:11">
      <c r="A575" s="106"/>
      <c r="B575" s="107"/>
      <c r="C575" s="107"/>
      <c r="D575" s="107"/>
      <c r="E575" s="107"/>
      <c r="F575" s="107"/>
      <c r="G575" s="107"/>
      <c r="H575" s="107"/>
      <c r="I575" s="107"/>
      <c r="J575" s="107"/>
      <c r="K575" s="107"/>
    </row>
    <row r="576" spans="1:11">
      <c r="A576" s="106"/>
      <c r="B576" s="107"/>
      <c r="C576" s="107"/>
      <c r="D576" s="107"/>
      <c r="E576" s="107"/>
      <c r="F576" s="107"/>
      <c r="G576" s="107"/>
      <c r="H576" s="107"/>
      <c r="I576" s="107"/>
      <c r="J576" s="107"/>
      <c r="K576" s="107"/>
    </row>
    <row r="577" spans="1:11">
      <c r="A577" s="106"/>
      <c r="B577" s="107"/>
      <c r="C577" s="107"/>
      <c r="D577" s="107"/>
      <c r="E577" s="107"/>
      <c r="F577" s="107"/>
      <c r="G577" s="107"/>
      <c r="H577" s="107"/>
      <c r="I577" s="107"/>
      <c r="J577" s="107"/>
      <c r="K577" s="107"/>
    </row>
    <row r="578" spans="1:11">
      <c r="A578" s="106"/>
      <c r="B578" s="107"/>
      <c r="C578" s="107"/>
      <c r="D578" s="107"/>
      <c r="E578" s="107"/>
      <c r="F578" s="107"/>
      <c r="G578" s="107"/>
      <c r="H578" s="107"/>
      <c r="I578" s="107"/>
      <c r="J578" s="107"/>
      <c r="K578" s="107"/>
    </row>
    <row r="579" spans="1:11">
      <c r="A579" s="106"/>
      <c r="B579" s="107"/>
      <c r="C579" s="107"/>
      <c r="D579" s="107"/>
      <c r="E579" s="107"/>
      <c r="F579" s="107"/>
      <c r="G579" s="107"/>
      <c r="H579" s="107"/>
      <c r="I579" s="107"/>
      <c r="J579" s="107"/>
      <c r="K579" s="107"/>
    </row>
    <row r="580" spans="1:11">
      <c r="A580" s="106"/>
      <c r="B580" s="107"/>
      <c r="C580" s="107"/>
      <c r="D580" s="107"/>
      <c r="E580" s="107"/>
      <c r="F580" s="107"/>
      <c r="G580" s="107"/>
      <c r="H580" s="107"/>
      <c r="I580" s="107"/>
      <c r="J580" s="107"/>
      <c r="K580" s="107"/>
    </row>
    <row r="581" spans="1:11">
      <c r="A581" s="106"/>
      <c r="B581" s="107"/>
      <c r="C581" s="107"/>
      <c r="D581" s="107"/>
      <c r="E581" s="107"/>
      <c r="F581" s="107"/>
      <c r="G581" s="107"/>
      <c r="H581" s="107"/>
      <c r="I581" s="107"/>
      <c r="J581" s="107"/>
      <c r="K581" s="107"/>
    </row>
    <row r="582" spans="1:11">
      <c r="A582" s="106"/>
      <c r="B582" s="107"/>
      <c r="C582" s="107"/>
      <c r="D582" s="107"/>
      <c r="E582" s="107"/>
      <c r="F582" s="107"/>
      <c r="G582" s="107"/>
      <c r="H582" s="107"/>
      <c r="I582" s="107"/>
      <c r="J582" s="107"/>
      <c r="K582" s="107"/>
    </row>
    <row r="583" spans="1:11">
      <c r="A583" s="106"/>
      <c r="B583" s="107"/>
      <c r="C583" s="107"/>
      <c r="D583" s="107"/>
      <c r="E583" s="107"/>
      <c r="F583" s="107"/>
      <c r="G583" s="107"/>
      <c r="H583" s="107"/>
      <c r="I583" s="107"/>
      <c r="J583" s="107"/>
      <c r="K583" s="107"/>
    </row>
    <row r="584" spans="1:11">
      <c r="A584" s="106"/>
      <c r="B584" s="107"/>
      <c r="C584" s="107"/>
      <c r="D584" s="107"/>
      <c r="E584" s="107"/>
      <c r="F584" s="107"/>
      <c r="G584" s="107"/>
      <c r="H584" s="107"/>
      <c r="I584" s="107"/>
      <c r="J584" s="107"/>
      <c r="K584" s="107"/>
    </row>
    <row r="585" spans="1:11">
      <c r="A585" s="106"/>
      <c r="B585" s="107"/>
      <c r="C585" s="107"/>
      <c r="D585" s="107"/>
      <c r="E585" s="107"/>
      <c r="F585" s="107"/>
      <c r="G585" s="107"/>
      <c r="H585" s="107"/>
      <c r="I585" s="107"/>
      <c r="J585" s="107"/>
      <c r="K585" s="107"/>
    </row>
    <row r="586" spans="1:11">
      <c r="A586" s="106"/>
      <c r="B586" s="107"/>
      <c r="C586" s="107"/>
      <c r="D586" s="107"/>
      <c r="E586" s="107"/>
      <c r="F586" s="107"/>
      <c r="G586" s="107"/>
      <c r="H586" s="107"/>
      <c r="I586" s="107"/>
      <c r="J586" s="107"/>
      <c r="K586" s="107"/>
    </row>
    <row r="587" spans="1:11">
      <c r="A587" s="106"/>
      <c r="B587" s="107"/>
      <c r="C587" s="107"/>
      <c r="D587" s="107"/>
      <c r="E587" s="107"/>
      <c r="F587" s="107"/>
      <c r="G587" s="107"/>
      <c r="H587" s="107"/>
      <c r="I587" s="107"/>
      <c r="J587" s="107"/>
      <c r="K587" s="107"/>
    </row>
    <row r="588" spans="1:11">
      <c r="A588" s="106"/>
      <c r="B588" s="107"/>
      <c r="C588" s="107"/>
      <c r="D588" s="107"/>
      <c r="E588" s="107"/>
      <c r="F588" s="107"/>
      <c r="G588" s="107"/>
      <c r="H588" s="107"/>
      <c r="I588" s="107"/>
      <c r="J588" s="107"/>
      <c r="K588" s="107"/>
    </row>
    <row r="589" spans="1:11">
      <c r="A589" s="106"/>
      <c r="B589" s="107"/>
      <c r="C589" s="107"/>
      <c r="D589" s="107"/>
      <c r="E589" s="107"/>
      <c r="F589" s="107"/>
      <c r="G589" s="107"/>
      <c r="H589" s="107"/>
      <c r="I589" s="107"/>
      <c r="J589" s="107"/>
      <c r="K589" s="107"/>
    </row>
    <row r="590" spans="1:11">
      <c r="A590" s="106"/>
      <c r="B590" s="107"/>
      <c r="C590" s="107"/>
      <c r="D590" s="107"/>
      <c r="E590" s="107"/>
      <c r="F590" s="107"/>
      <c r="G590" s="107"/>
      <c r="H590" s="107"/>
      <c r="I590" s="107"/>
      <c r="J590" s="107"/>
      <c r="K590" s="107"/>
    </row>
    <row r="591" spans="1:11">
      <c r="A591" s="106"/>
      <c r="B591" s="107"/>
      <c r="C591" s="107"/>
      <c r="D591" s="107"/>
      <c r="E591" s="107"/>
      <c r="F591" s="107"/>
      <c r="G591" s="107"/>
      <c r="H591" s="107"/>
      <c r="I591" s="107"/>
      <c r="J591" s="107"/>
      <c r="K591" s="107"/>
    </row>
    <row r="592" spans="1:11">
      <c r="A592" s="106"/>
      <c r="B592" s="107"/>
      <c r="C592" s="107"/>
      <c r="D592" s="107"/>
      <c r="E592" s="107"/>
      <c r="F592" s="107"/>
      <c r="G592" s="107"/>
      <c r="H592" s="107"/>
      <c r="I592" s="107"/>
      <c r="J592" s="107"/>
      <c r="K592" s="107"/>
    </row>
    <row r="593" spans="1:11">
      <c r="A593" s="106"/>
      <c r="B593" s="107"/>
      <c r="C593" s="107"/>
      <c r="D593" s="107"/>
      <c r="E593" s="107"/>
      <c r="F593" s="107"/>
      <c r="G593" s="107"/>
      <c r="H593" s="107"/>
      <c r="I593" s="107"/>
      <c r="J593" s="107"/>
      <c r="K593" s="107"/>
    </row>
    <row r="594" spans="1:11">
      <c r="A594" s="106"/>
      <c r="B594" s="107"/>
      <c r="C594" s="107"/>
      <c r="D594" s="107"/>
      <c r="E594" s="107"/>
      <c r="F594" s="107"/>
      <c r="G594" s="107"/>
      <c r="H594" s="107"/>
      <c r="I594" s="107"/>
      <c r="J594" s="107"/>
      <c r="K594" s="107"/>
    </row>
    <row r="595" spans="1:11">
      <c r="A595" s="106"/>
      <c r="B595" s="107"/>
      <c r="C595" s="107"/>
      <c r="D595" s="107"/>
      <c r="E595" s="107"/>
      <c r="F595" s="107"/>
      <c r="G595" s="107"/>
      <c r="H595" s="107"/>
      <c r="I595" s="107"/>
      <c r="J595" s="107"/>
      <c r="K595" s="107"/>
    </row>
    <row r="596" spans="1:11">
      <c r="A596" s="106"/>
      <c r="B596" s="107"/>
      <c r="C596" s="107"/>
      <c r="D596" s="107"/>
      <c r="E596" s="107"/>
      <c r="F596" s="107"/>
      <c r="G596" s="107"/>
      <c r="H596" s="107"/>
      <c r="I596" s="107"/>
      <c r="J596" s="107"/>
      <c r="K596" s="107"/>
    </row>
    <row r="597" spans="1:11">
      <c r="A597" s="106"/>
      <c r="B597" s="107"/>
      <c r="C597" s="107"/>
      <c r="D597" s="107"/>
      <c r="E597" s="107"/>
      <c r="F597" s="107"/>
      <c r="G597" s="107"/>
      <c r="H597" s="107"/>
      <c r="I597" s="107"/>
      <c r="J597" s="107"/>
      <c r="K597" s="107"/>
    </row>
    <row r="598" spans="1:11">
      <c r="A598" s="106"/>
      <c r="B598" s="107"/>
      <c r="C598" s="107"/>
      <c r="D598" s="107"/>
      <c r="E598" s="107"/>
      <c r="F598" s="107"/>
      <c r="G598" s="107"/>
      <c r="H598" s="107"/>
      <c r="I598" s="107"/>
      <c r="J598" s="107"/>
      <c r="K598" s="107"/>
    </row>
    <row r="599" spans="1:11">
      <c r="A599" s="106"/>
      <c r="B599" s="107"/>
      <c r="C599" s="107"/>
      <c r="D599" s="107"/>
      <c r="E599" s="107"/>
      <c r="F599" s="107"/>
      <c r="G599" s="107"/>
      <c r="H599" s="107"/>
      <c r="I599" s="107"/>
      <c r="J599" s="107"/>
      <c r="K599" s="107"/>
    </row>
    <row r="600" spans="1:11">
      <c r="A600" s="106"/>
      <c r="B600" s="107"/>
      <c r="C600" s="107"/>
      <c r="D600" s="107"/>
      <c r="E600" s="107"/>
      <c r="F600" s="107"/>
      <c r="G600" s="107"/>
      <c r="H600" s="107"/>
      <c r="I600" s="107"/>
      <c r="J600" s="107"/>
      <c r="K600" s="107"/>
    </row>
    <row r="601" spans="1:11">
      <c r="A601" s="106"/>
      <c r="B601" s="107"/>
      <c r="C601" s="107"/>
      <c r="D601" s="107"/>
      <c r="E601" s="107"/>
      <c r="F601" s="107"/>
      <c r="G601" s="107"/>
      <c r="H601" s="107"/>
      <c r="I601" s="107"/>
      <c r="J601" s="107"/>
      <c r="K601" s="107"/>
    </row>
    <row r="602" spans="1:11">
      <c r="A602" s="106"/>
      <c r="B602" s="107"/>
      <c r="C602" s="107"/>
      <c r="D602" s="107"/>
      <c r="E602" s="107"/>
      <c r="F602" s="107"/>
      <c r="G602" s="107"/>
      <c r="H602" s="107"/>
      <c r="I602" s="107"/>
      <c r="J602" s="107"/>
      <c r="K602" s="107"/>
    </row>
    <row r="603" spans="1:11">
      <c r="A603" s="106"/>
      <c r="B603" s="107"/>
      <c r="C603" s="107"/>
      <c r="D603" s="107"/>
      <c r="E603" s="107"/>
      <c r="F603" s="107"/>
      <c r="G603" s="107"/>
      <c r="H603" s="107"/>
      <c r="I603" s="107"/>
      <c r="J603" s="107"/>
      <c r="K603" s="107"/>
    </row>
    <row r="604" spans="1:11">
      <c r="A604" s="106"/>
      <c r="B604" s="107"/>
      <c r="C604" s="107"/>
      <c r="D604" s="107"/>
      <c r="E604" s="107"/>
      <c r="F604" s="107"/>
      <c r="G604" s="107"/>
      <c r="H604" s="107"/>
      <c r="I604" s="107"/>
      <c r="J604" s="107"/>
      <c r="K604" s="107"/>
    </row>
    <row r="605" spans="1:11">
      <c r="A605" s="106"/>
      <c r="B605" s="107"/>
      <c r="C605" s="107"/>
      <c r="D605" s="107"/>
      <c r="E605" s="107"/>
      <c r="F605" s="107"/>
      <c r="G605" s="107"/>
      <c r="H605" s="107"/>
      <c r="I605" s="107"/>
      <c r="J605" s="107"/>
      <c r="K605" s="107"/>
    </row>
    <row r="606" spans="1:11">
      <c r="A606" s="106"/>
      <c r="B606" s="107"/>
      <c r="C606" s="107"/>
      <c r="D606" s="107"/>
      <c r="E606" s="107"/>
      <c r="F606" s="107"/>
      <c r="G606" s="107"/>
      <c r="H606" s="107"/>
      <c r="I606" s="107"/>
      <c r="J606" s="107"/>
      <c r="K606" s="107"/>
    </row>
    <row r="607" spans="1:11">
      <c r="A607" s="106"/>
      <c r="B607" s="107"/>
      <c r="C607" s="107"/>
      <c r="D607" s="107"/>
      <c r="E607" s="107"/>
      <c r="F607" s="107"/>
      <c r="G607" s="107"/>
      <c r="H607" s="107"/>
      <c r="I607" s="107"/>
      <c r="J607" s="107"/>
      <c r="K607" s="107"/>
    </row>
    <row r="608" spans="1:11">
      <c r="A608" s="106"/>
      <c r="B608" s="107"/>
      <c r="C608" s="107"/>
      <c r="D608" s="107"/>
      <c r="E608" s="107"/>
      <c r="F608" s="107"/>
      <c r="G608" s="107"/>
      <c r="H608" s="107"/>
      <c r="I608" s="107"/>
      <c r="J608" s="107"/>
      <c r="K608" s="107"/>
    </row>
    <row r="609" spans="1:11">
      <c r="A609" s="106"/>
      <c r="B609" s="107"/>
      <c r="C609" s="107"/>
      <c r="D609" s="107"/>
      <c r="E609" s="107"/>
      <c r="F609" s="107"/>
      <c r="G609" s="107"/>
      <c r="H609" s="107"/>
      <c r="I609" s="107"/>
      <c r="J609" s="107"/>
      <c r="K609" s="107"/>
    </row>
    <row r="610" spans="1:11">
      <c r="A610" s="106"/>
      <c r="B610" s="107"/>
      <c r="C610" s="107"/>
      <c r="D610" s="107"/>
      <c r="E610" s="107"/>
      <c r="F610" s="107"/>
      <c r="G610" s="107"/>
      <c r="H610" s="107"/>
      <c r="I610" s="107"/>
      <c r="J610" s="107"/>
      <c r="K610" s="107"/>
    </row>
    <row r="611" spans="1:11">
      <c r="A611" s="106"/>
      <c r="B611" s="107"/>
      <c r="C611" s="107"/>
      <c r="D611" s="107"/>
      <c r="E611" s="107"/>
      <c r="F611" s="107"/>
      <c r="G611" s="107"/>
      <c r="H611" s="107"/>
      <c r="I611" s="107"/>
      <c r="J611" s="107"/>
      <c r="K611" s="107"/>
    </row>
    <row r="612" spans="1:11">
      <c r="A612" s="106"/>
      <c r="B612" s="107"/>
      <c r="C612" s="107"/>
      <c r="D612" s="107"/>
      <c r="E612" s="107"/>
      <c r="F612" s="107"/>
      <c r="G612" s="107"/>
      <c r="H612" s="107"/>
      <c r="I612" s="107"/>
      <c r="J612" s="107"/>
      <c r="K612" s="107"/>
    </row>
    <row r="613" spans="1:11">
      <c r="A613" s="106"/>
      <c r="B613" s="107"/>
      <c r="C613" s="107"/>
      <c r="D613" s="107"/>
      <c r="E613" s="107"/>
      <c r="F613" s="107"/>
      <c r="G613" s="107"/>
      <c r="H613" s="107"/>
      <c r="I613" s="107"/>
      <c r="J613" s="107"/>
      <c r="K613" s="107"/>
    </row>
    <row r="614" spans="1:11">
      <c r="A614" s="106"/>
      <c r="B614" s="107"/>
      <c r="C614" s="107"/>
      <c r="D614" s="107"/>
      <c r="E614" s="107"/>
      <c r="F614" s="107"/>
      <c r="G614" s="107"/>
      <c r="H614" s="107"/>
      <c r="I614" s="107"/>
      <c r="J614" s="107"/>
      <c r="K614" s="107"/>
    </row>
    <row r="615" spans="1:11">
      <c r="A615" s="106"/>
      <c r="B615" s="107"/>
      <c r="C615" s="107"/>
      <c r="D615" s="107"/>
      <c r="E615" s="107"/>
      <c r="F615" s="107"/>
      <c r="G615" s="107"/>
      <c r="H615" s="107"/>
      <c r="I615" s="107"/>
      <c r="J615" s="107"/>
      <c r="K615" s="107"/>
    </row>
    <row r="616" spans="1:11">
      <c r="A616" s="106"/>
      <c r="B616" s="107"/>
      <c r="C616" s="107"/>
      <c r="D616" s="107"/>
      <c r="E616" s="107"/>
      <c r="F616" s="107"/>
      <c r="G616" s="107"/>
      <c r="H616" s="107"/>
      <c r="I616" s="107"/>
      <c r="J616" s="107"/>
      <c r="K616" s="107"/>
    </row>
    <row r="617" spans="1:11">
      <c r="A617" s="106"/>
      <c r="B617" s="107"/>
      <c r="C617" s="107"/>
      <c r="D617" s="107"/>
      <c r="E617" s="107"/>
      <c r="F617" s="107"/>
      <c r="G617" s="107"/>
      <c r="H617" s="107"/>
      <c r="I617" s="107"/>
      <c r="J617" s="107"/>
      <c r="K617" s="107"/>
    </row>
    <row r="618" spans="1:11">
      <c r="A618" s="106"/>
      <c r="B618" s="107"/>
      <c r="C618" s="107"/>
      <c r="D618" s="107"/>
      <c r="E618" s="107"/>
      <c r="F618" s="107"/>
      <c r="G618" s="107"/>
      <c r="H618" s="107"/>
      <c r="I618" s="107"/>
      <c r="J618" s="107"/>
      <c r="K618" s="107"/>
    </row>
    <row r="619" spans="1:11">
      <c r="A619" s="106"/>
      <c r="B619" s="107"/>
      <c r="C619" s="107"/>
      <c r="D619" s="107"/>
      <c r="E619" s="107"/>
      <c r="F619" s="107"/>
      <c r="G619" s="107"/>
      <c r="H619" s="107"/>
      <c r="I619" s="107"/>
      <c r="J619" s="107"/>
      <c r="K619" s="107"/>
    </row>
    <row r="620" spans="1:11">
      <c r="A620" s="106"/>
      <c r="B620" s="107"/>
      <c r="C620" s="107"/>
      <c r="D620" s="107"/>
      <c r="E620" s="107"/>
      <c r="F620" s="107"/>
      <c r="G620" s="107"/>
      <c r="H620" s="107"/>
      <c r="I620" s="107"/>
      <c r="J620" s="107"/>
      <c r="K620" s="107"/>
    </row>
    <row r="621" spans="1:11">
      <c r="A621" s="106"/>
      <c r="B621" s="107"/>
      <c r="C621" s="107"/>
      <c r="D621" s="107"/>
      <c r="E621" s="107"/>
      <c r="F621" s="107"/>
      <c r="G621" s="107"/>
      <c r="H621" s="107"/>
      <c r="I621" s="107"/>
      <c r="J621" s="107"/>
      <c r="K621" s="107"/>
    </row>
    <row r="622" spans="1:11">
      <c r="A622" s="106"/>
      <c r="B622" s="107"/>
      <c r="C622" s="107"/>
      <c r="D622" s="107"/>
      <c r="E622" s="107"/>
      <c r="F622" s="107"/>
      <c r="G622" s="107"/>
      <c r="H622" s="107"/>
      <c r="I622" s="107"/>
      <c r="J622" s="107"/>
      <c r="K622" s="107"/>
    </row>
    <row r="623" spans="1:11">
      <c r="A623" s="106"/>
      <c r="B623" s="107"/>
      <c r="C623" s="107"/>
      <c r="D623" s="107"/>
      <c r="E623" s="107"/>
      <c r="F623" s="107"/>
      <c r="G623" s="107"/>
      <c r="H623" s="107"/>
      <c r="I623" s="107"/>
      <c r="J623" s="107"/>
      <c r="K623" s="107"/>
    </row>
    <row r="624" spans="1:11">
      <c r="A624" s="106"/>
      <c r="B624" s="107"/>
      <c r="C624" s="107"/>
      <c r="D624" s="107"/>
      <c r="E624" s="107"/>
      <c r="F624" s="107"/>
      <c r="G624" s="107"/>
      <c r="H624" s="107"/>
      <c r="I624" s="107"/>
      <c r="J624" s="107"/>
      <c r="K624" s="107"/>
    </row>
    <row r="625" spans="1:11">
      <c r="A625" s="106"/>
      <c r="B625" s="107"/>
      <c r="C625" s="107"/>
      <c r="D625" s="107"/>
      <c r="E625" s="107"/>
      <c r="F625" s="107"/>
      <c r="G625" s="107"/>
      <c r="H625" s="107"/>
      <c r="I625" s="107"/>
      <c r="J625" s="107"/>
      <c r="K625" s="107"/>
    </row>
    <row r="626" spans="1:11">
      <c r="A626" s="106"/>
      <c r="B626" s="107"/>
      <c r="C626" s="107"/>
      <c r="D626" s="107"/>
      <c r="E626" s="107"/>
      <c r="F626" s="107"/>
      <c r="G626" s="107"/>
      <c r="H626" s="107"/>
      <c r="I626" s="107"/>
      <c r="J626" s="107"/>
      <c r="K626" s="107"/>
    </row>
    <row r="627" spans="1:11">
      <c r="A627" s="106"/>
      <c r="B627" s="107"/>
      <c r="C627" s="107"/>
      <c r="D627" s="107"/>
      <c r="E627" s="107"/>
      <c r="F627" s="107"/>
      <c r="G627" s="107"/>
      <c r="H627" s="107"/>
      <c r="I627" s="107"/>
      <c r="J627" s="107"/>
      <c r="K627" s="107"/>
    </row>
    <row r="628" spans="1:11">
      <c r="A628" s="106"/>
      <c r="B628" s="107"/>
      <c r="C628" s="107"/>
      <c r="D628" s="107"/>
      <c r="E628" s="107"/>
      <c r="F628" s="107"/>
      <c r="G628" s="107"/>
      <c r="H628" s="107"/>
      <c r="I628" s="107"/>
      <c r="J628" s="107"/>
      <c r="K628" s="107"/>
    </row>
    <row r="629" spans="1:11">
      <c r="A629" s="106"/>
      <c r="B629" s="107"/>
      <c r="C629" s="107"/>
      <c r="D629" s="107"/>
      <c r="E629" s="107"/>
      <c r="F629" s="107"/>
      <c r="G629" s="107"/>
      <c r="H629" s="107"/>
      <c r="I629" s="107"/>
      <c r="J629" s="107"/>
      <c r="K629" s="107"/>
    </row>
    <row r="630" spans="1:11">
      <c r="A630" s="106"/>
      <c r="B630" s="107"/>
      <c r="C630" s="107"/>
      <c r="D630" s="107"/>
      <c r="E630" s="107"/>
      <c r="F630" s="107"/>
      <c r="G630" s="107"/>
      <c r="H630" s="107"/>
      <c r="I630" s="107"/>
      <c r="J630" s="107"/>
      <c r="K630" s="107"/>
    </row>
    <row r="631" spans="1:11">
      <c r="A631" s="106"/>
      <c r="B631" s="107"/>
      <c r="C631" s="107"/>
      <c r="D631" s="107"/>
      <c r="E631" s="107"/>
      <c r="F631" s="107"/>
      <c r="G631" s="107"/>
      <c r="H631" s="107"/>
      <c r="I631" s="107"/>
      <c r="J631" s="107"/>
      <c r="K631" s="107"/>
    </row>
    <row r="632" spans="1:11">
      <c r="A632" s="106"/>
      <c r="B632" s="107"/>
      <c r="C632" s="107"/>
      <c r="D632" s="107"/>
      <c r="E632" s="107"/>
      <c r="F632" s="107"/>
      <c r="G632" s="107"/>
      <c r="H632" s="107"/>
      <c r="I632" s="107"/>
      <c r="J632" s="107"/>
      <c r="K632" s="107"/>
    </row>
    <row r="633" spans="1:11">
      <c r="A633" s="106"/>
      <c r="B633" s="107"/>
      <c r="C633" s="107"/>
      <c r="D633" s="107"/>
      <c r="E633" s="107"/>
      <c r="F633" s="107"/>
      <c r="G633" s="107"/>
      <c r="H633" s="107"/>
      <c r="I633" s="107"/>
      <c r="J633" s="107"/>
      <c r="K633" s="107"/>
    </row>
    <row r="634" spans="1:11">
      <c r="A634" s="106"/>
      <c r="B634" s="107"/>
      <c r="C634" s="107"/>
      <c r="D634" s="107"/>
      <c r="E634" s="107"/>
      <c r="F634" s="107"/>
      <c r="G634" s="107"/>
      <c r="H634" s="107"/>
      <c r="I634" s="107"/>
      <c r="J634" s="107"/>
      <c r="K634" s="107"/>
    </row>
    <row r="635" spans="1:11">
      <c r="A635" s="106"/>
      <c r="B635" s="107"/>
      <c r="C635" s="107"/>
      <c r="D635" s="107"/>
      <c r="E635" s="107"/>
      <c r="F635" s="107"/>
      <c r="G635" s="107"/>
      <c r="H635" s="107"/>
      <c r="I635" s="107"/>
      <c r="J635" s="107"/>
      <c r="K635" s="107"/>
    </row>
    <row r="636" spans="1:11">
      <c r="A636" s="106"/>
      <c r="B636" s="107"/>
      <c r="C636" s="107"/>
      <c r="D636" s="107"/>
      <c r="E636" s="107"/>
      <c r="F636" s="107"/>
      <c r="G636" s="107"/>
      <c r="H636" s="107"/>
      <c r="I636" s="107"/>
      <c r="J636" s="107"/>
      <c r="K636" s="107"/>
    </row>
    <row r="637" spans="1:11">
      <c r="A637" s="106"/>
      <c r="B637" s="107"/>
      <c r="C637" s="107"/>
      <c r="D637" s="107"/>
      <c r="E637" s="107"/>
      <c r="F637" s="107"/>
      <c r="G637" s="107"/>
      <c r="H637" s="107"/>
      <c r="I637" s="107"/>
      <c r="J637" s="107"/>
      <c r="K637" s="107"/>
    </row>
    <row r="638" spans="1:11">
      <c r="A638" s="106"/>
      <c r="B638" s="107"/>
      <c r="C638" s="107"/>
      <c r="D638" s="107"/>
      <c r="E638" s="107"/>
      <c r="F638" s="107"/>
      <c r="G638" s="107"/>
      <c r="H638" s="107"/>
      <c r="I638" s="107"/>
      <c r="J638" s="107"/>
      <c r="K638" s="107"/>
    </row>
    <row r="639" spans="1:11">
      <c r="A639" s="106"/>
      <c r="B639" s="107"/>
      <c r="C639" s="107"/>
      <c r="D639" s="107"/>
      <c r="E639" s="107"/>
      <c r="F639" s="107"/>
      <c r="G639" s="107"/>
      <c r="H639" s="107"/>
      <c r="I639" s="107"/>
      <c r="J639" s="107"/>
      <c r="K639" s="107"/>
    </row>
    <row r="640" spans="1:11">
      <c r="A640" s="106"/>
      <c r="B640" s="107"/>
      <c r="C640" s="107"/>
      <c r="D640" s="107"/>
      <c r="E640" s="107"/>
      <c r="F640" s="107"/>
      <c r="G640" s="107"/>
      <c r="H640" s="107"/>
      <c r="I640" s="107"/>
      <c r="J640" s="107"/>
      <c r="K640" s="107"/>
    </row>
    <row r="641" spans="1:11">
      <c r="A641" s="106"/>
      <c r="B641" s="107"/>
      <c r="C641" s="107"/>
      <c r="D641" s="107"/>
      <c r="E641" s="107"/>
      <c r="F641" s="107"/>
      <c r="G641" s="107"/>
      <c r="H641" s="107"/>
      <c r="I641" s="107"/>
      <c r="J641" s="107"/>
      <c r="K641" s="107"/>
    </row>
    <row r="642" spans="1:11">
      <c r="A642" s="106"/>
      <c r="B642" s="107"/>
      <c r="C642" s="107"/>
      <c r="D642" s="107"/>
      <c r="E642" s="107"/>
      <c r="F642" s="107"/>
      <c r="G642" s="107"/>
      <c r="H642" s="107"/>
      <c r="I642" s="107"/>
      <c r="J642" s="107"/>
      <c r="K642" s="107"/>
    </row>
    <row r="643" spans="1:11">
      <c r="A643" s="106"/>
      <c r="B643" s="107"/>
      <c r="C643" s="107"/>
      <c r="D643" s="107"/>
      <c r="E643" s="107"/>
      <c r="F643" s="107"/>
      <c r="G643" s="107"/>
      <c r="H643" s="107"/>
      <c r="I643" s="107"/>
      <c r="J643" s="107"/>
      <c r="K643" s="107"/>
    </row>
    <row r="644" spans="1:11">
      <c r="A644" s="106"/>
      <c r="B644" s="107"/>
      <c r="C644" s="107"/>
      <c r="D644" s="107"/>
      <c r="E644" s="107"/>
      <c r="F644" s="107"/>
      <c r="G644" s="107"/>
      <c r="H644" s="107"/>
      <c r="I644" s="107"/>
      <c r="J644" s="107"/>
      <c r="K644" s="107"/>
    </row>
    <row r="645" spans="1:11">
      <c r="A645" s="106"/>
      <c r="B645" s="107"/>
      <c r="C645" s="107"/>
      <c r="D645" s="107"/>
      <c r="E645" s="107"/>
      <c r="F645" s="107"/>
      <c r="G645" s="107"/>
      <c r="H645" s="107"/>
      <c r="I645" s="107"/>
      <c r="J645" s="107"/>
      <c r="K645" s="107"/>
    </row>
    <row r="646" spans="1:11">
      <c r="A646" s="106"/>
      <c r="B646" s="107"/>
      <c r="C646" s="107"/>
      <c r="D646" s="107"/>
      <c r="E646" s="107"/>
      <c r="F646" s="107"/>
      <c r="G646" s="107"/>
      <c r="H646" s="107"/>
      <c r="I646" s="107"/>
      <c r="J646" s="107"/>
      <c r="K646" s="107"/>
    </row>
    <row r="647" spans="1:11">
      <c r="A647" s="106"/>
      <c r="B647" s="107"/>
      <c r="C647" s="107"/>
      <c r="D647" s="107"/>
      <c r="E647" s="107"/>
      <c r="F647" s="107"/>
      <c r="G647" s="107"/>
      <c r="H647" s="107"/>
      <c r="I647" s="107"/>
      <c r="J647" s="107"/>
      <c r="K647" s="107"/>
    </row>
    <row r="648" spans="1:11">
      <c r="A648" s="106"/>
      <c r="B648" s="107"/>
      <c r="C648" s="107"/>
      <c r="D648" s="107"/>
      <c r="E648" s="107"/>
      <c r="F648" s="107"/>
      <c r="G648" s="107"/>
      <c r="H648" s="107"/>
      <c r="I648" s="107"/>
      <c r="J648" s="107"/>
      <c r="K648" s="107"/>
    </row>
    <row r="649" spans="1:11">
      <c r="A649" s="106"/>
      <c r="B649" s="107"/>
      <c r="C649" s="107"/>
      <c r="D649" s="107"/>
      <c r="E649" s="107"/>
      <c r="F649" s="107"/>
      <c r="G649" s="107"/>
      <c r="H649" s="107"/>
      <c r="I649" s="107"/>
      <c r="J649" s="107"/>
      <c r="K649" s="107"/>
    </row>
    <row r="650" spans="1:11">
      <c r="A650" s="106"/>
      <c r="B650" s="107"/>
      <c r="C650" s="107"/>
      <c r="D650" s="107"/>
      <c r="E650" s="107"/>
      <c r="F650" s="107"/>
      <c r="G650" s="107"/>
      <c r="H650" s="107"/>
      <c r="I650" s="107"/>
      <c r="J650" s="107"/>
      <c r="K650" s="107"/>
    </row>
    <row r="651" spans="1:11">
      <c r="A651" s="106"/>
      <c r="B651" s="107"/>
      <c r="C651" s="107"/>
      <c r="D651" s="107"/>
      <c r="E651" s="107"/>
      <c r="F651" s="107"/>
      <c r="G651" s="107"/>
      <c r="H651" s="107"/>
      <c r="I651" s="107"/>
      <c r="J651" s="107"/>
      <c r="K651" s="107"/>
    </row>
    <row r="652" spans="1:11">
      <c r="A652" s="106"/>
      <c r="B652" s="107"/>
      <c r="C652" s="107"/>
      <c r="D652" s="107"/>
      <c r="E652" s="107"/>
      <c r="F652" s="107"/>
      <c r="G652" s="107"/>
      <c r="H652" s="107"/>
      <c r="I652" s="107"/>
      <c r="J652" s="107"/>
      <c r="K652" s="107"/>
    </row>
    <row r="653" spans="1:11">
      <c r="A653" s="106"/>
      <c r="B653" s="107"/>
      <c r="C653" s="107"/>
      <c r="D653" s="107"/>
      <c r="E653" s="107"/>
      <c r="F653" s="107"/>
      <c r="G653" s="107"/>
      <c r="H653" s="107"/>
      <c r="I653" s="107"/>
      <c r="J653" s="107"/>
      <c r="K653" s="107"/>
    </row>
    <row r="654" spans="1:11">
      <c r="A654" s="106"/>
      <c r="B654" s="107"/>
      <c r="C654" s="107"/>
      <c r="D654" s="107"/>
      <c r="E654" s="107"/>
      <c r="F654" s="107"/>
      <c r="G654" s="107"/>
      <c r="H654" s="107"/>
      <c r="I654" s="107"/>
      <c r="J654" s="107"/>
      <c r="K654" s="107"/>
    </row>
    <row r="655" spans="1:11">
      <c r="A655" s="106"/>
      <c r="B655" s="107"/>
      <c r="C655" s="107"/>
      <c r="D655" s="107"/>
      <c r="E655" s="107"/>
      <c r="F655" s="107"/>
      <c r="G655" s="107"/>
      <c r="H655" s="107"/>
      <c r="I655" s="107"/>
      <c r="J655" s="107"/>
      <c r="K655" s="107"/>
    </row>
    <row r="656" spans="1:11">
      <c r="A656" s="106"/>
      <c r="B656" s="107"/>
      <c r="C656" s="107"/>
      <c r="D656" s="107"/>
      <c r="E656" s="107"/>
      <c r="F656" s="107"/>
      <c r="G656" s="107"/>
      <c r="H656" s="107"/>
      <c r="I656" s="107"/>
      <c r="J656" s="107"/>
      <c r="K656" s="107"/>
    </row>
    <row r="657" spans="1:11">
      <c r="A657" s="106"/>
      <c r="B657" s="107"/>
      <c r="C657" s="107"/>
      <c r="D657" s="107"/>
      <c r="E657" s="107"/>
      <c r="F657" s="107"/>
      <c r="G657" s="107"/>
      <c r="H657" s="107"/>
      <c r="I657" s="107"/>
      <c r="J657" s="107"/>
      <c r="K657" s="107"/>
    </row>
    <row r="658" spans="1:11">
      <c r="A658" s="106"/>
      <c r="B658" s="107"/>
      <c r="C658" s="107"/>
      <c r="D658" s="107"/>
      <c r="E658" s="107"/>
      <c r="F658" s="107"/>
      <c r="G658" s="107"/>
      <c r="H658" s="107"/>
      <c r="I658" s="107"/>
      <c r="J658" s="107"/>
      <c r="K658" s="107"/>
    </row>
    <row r="659" spans="1:11">
      <c r="A659" s="106"/>
      <c r="B659" s="107"/>
      <c r="C659" s="107"/>
      <c r="D659" s="107"/>
      <c r="E659" s="107"/>
      <c r="F659" s="107"/>
      <c r="G659" s="107"/>
      <c r="H659" s="107"/>
      <c r="I659" s="107"/>
      <c r="J659" s="107"/>
      <c r="K659" s="107"/>
    </row>
    <row r="660" spans="1:11">
      <c r="A660" s="106"/>
      <c r="B660" s="107"/>
      <c r="C660" s="107"/>
      <c r="D660" s="107"/>
      <c r="E660" s="107"/>
      <c r="F660" s="107"/>
      <c r="G660" s="107"/>
      <c r="H660" s="107"/>
      <c r="I660" s="107"/>
      <c r="J660" s="107"/>
      <c r="K660" s="107"/>
    </row>
    <row r="661" spans="1:11">
      <c r="A661" s="106"/>
      <c r="B661" s="107"/>
      <c r="C661" s="107"/>
      <c r="D661" s="107"/>
      <c r="E661" s="107"/>
      <c r="F661" s="107"/>
      <c r="G661" s="107"/>
      <c r="H661" s="107"/>
      <c r="I661" s="107"/>
      <c r="J661" s="107"/>
      <c r="K661" s="107"/>
    </row>
    <row r="662" spans="1:11">
      <c r="A662" s="106"/>
      <c r="B662" s="107"/>
      <c r="C662" s="107"/>
      <c r="D662" s="107"/>
      <c r="E662" s="107"/>
      <c r="F662" s="107"/>
      <c r="G662" s="107"/>
      <c r="H662" s="107"/>
      <c r="I662" s="107"/>
      <c r="J662" s="107"/>
      <c r="K662" s="107"/>
    </row>
    <row r="663" spans="1:11">
      <c r="A663" s="106"/>
      <c r="B663" s="107"/>
      <c r="C663" s="107"/>
      <c r="D663" s="107"/>
      <c r="E663" s="107"/>
      <c r="F663" s="107"/>
      <c r="G663" s="107"/>
      <c r="H663" s="107"/>
      <c r="I663" s="107"/>
      <c r="J663" s="107"/>
      <c r="K663" s="107"/>
    </row>
    <row r="664" spans="1:11">
      <c r="A664" s="106"/>
      <c r="B664" s="107"/>
      <c r="C664" s="107"/>
      <c r="D664" s="107"/>
      <c r="E664" s="107"/>
      <c r="F664" s="107"/>
      <c r="G664" s="107"/>
      <c r="H664" s="107"/>
      <c r="I664" s="107"/>
      <c r="J664" s="107"/>
      <c r="K664" s="107"/>
    </row>
    <row r="665" spans="1:11">
      <c r="A665" s="106"/>
      <c r="B665" s="107"/>
      <c r="C665" s="107"/>
      <c r="D665" s="107"/>
      <c r="E665" s="107"/>
      <c r="F665" s="107"/>
      <c r="G665" s="107"/>
      <c r="H665" s="107"/>
      <c r="I665" s="107"/>
      <c r="J665" s="107"/>
      <c r="K665" s="107"/>
    </row>
    <row r="666" spans="1:11">
      <c r="A666" s="106"/>
      <c r="B666" s="107"/>
      <c r="C666" s="107"/>
      <c r="D666" s="107"/>
      <c r="E666" s="107"/>
      <c r="F666" s="107"/>
      <c r="G666" s="107"/>
      <c r="H666" s="107"/>
      <c r="I666" s="107"/>
      <c r="J666" s="107"/>
      <c r="K666" s="107"/>
    </row>
    <row r="667" spans="1:11">
      <c r="A667" s="106"/>
      <c r="B667" s="107"/>
      <c r="C667" s="107"/>
      <c r="D667" s="107"/>
      <c r="E667" s="107"/>
      <c r="F667" s="107"/>
      <c r="G667" s="107"/>
      <c r="H667" s="107"/>
      <c r="I667" s="107"/>
      <c r="J667" s="107"/>
      <c r="K667" s="107"/>
    </row>
    <row r="668" spans="1:11">
      <c r="A668" s="106"/>
      <c r="B668" s="107"/>
      <c r="C668" s="107"/>
      <c r="D668" s="107"/>
      <c r="E668" s="107"/>
      <c r="F668" s="107"/>
      <c r="G668" s="107"/>
      <c r="H668" s="107"/>
      <c r="I668" s="107"/>
      <c r="J668" s="107"/>
      <c r="K668" s="107"/>
    </row>
    <row r="669" spans="1:11">
      <c r="A669" s="106"/>
      <c r="B669" s="107"/>
      <c r="C669" s="107"/>
      <c r="D669" s="107"/>
      <c r="E669" s="107"/>
      <c r="F669" s="107"/>
      <c r="G669" s="107"/>
      <c r="H669" s="107"/>
      <c r="I669" s="107"/>
      <c r="J669" s="107"/>
      <c r="K669" s="107"/>
    </row>
    <row r="670" spans="1:11">
      <c r="A670" s="106"/>
      <c r="B670" s="107"/>
      <c r="C670" s="107"/>
      <c r="D670" s="107"/>
      <c r="E670" s="107"/>
      <c r="F670" s="107"/>
      <c r="G670" s="107"/>
      <c r="H670" s="107"/>
      <c r="I670" s="107"/>
      <c r="J670" s="107"/>
      <c r="K670" s="107"/>
    </row>
    <row r="671" spans="1:11">
      <c r="A671" s="106"/>
      <c r="B671" s="107"/>
      <c r="C671" s="107"/>
      <c r="D671" s="107"/>
      <c r="E671" s="107"/>
      <c r="F671" s="107"/>
      <c r="G671" s="107"/>
      <c r="H671" s="107"/>
      <c r="I671" s="107"/>
      <c r="J671" s="107"/>
      <c r="K671" s="107"/>
    </row>
    <row r="672" spans="1:11">
      <c r="A672" s="106"/>
      <c r="B672" s="107"/>
      <c r="C672" s="107"/>
      <c r="D672" s="107"/>
      <c r="E672" s="107"/>
      <c r="F672" s="107"/>
      <c r="G672" s="107"/>
      <c r="H672" s="107"/>
      <c r="I672" s="107"/>
      <c r="J672" s="107"/>
      <c r="K672" s="107"/>
    </row>
    <row r="673" spans="1:11">
      <c r="A673" s="106"/>
      <c r="B673" s="107"/>
      <c r="C673" s="107"/>
      <c r="D673" s="107"/>
      <c r="E673" s="107"/>
      <c r="F673" s="107"/>
      <c r="G673" s="107"/>
      <c r="H673" s="107"/>
      <c r="I673" s="107"/>
      <c r="J673" s="107"/>
      <c r="K673" s="107"/>
    </row>
    <row r="674" spans="1:11">
      <c r="A674" s="106"/>
      <c r="B674" s="107"/>
      <c r="C674" s="107"/>
      <c r="D674" s="107"/>
      <c r="E674" s="107"/>
      <c r="F674" s="107"/>
      <c r="G674" s="107"/>
      <c r="H674" s="107"/>
      <c r="I674" s="107"/>
      <c r="J674" s="107"/>
      <c r="K674" s="107"/>
    </row>
    <row r="675" spans="1:11">
      <c r="A675" s="106"/>
      <c r="B675" s="107"/>
      <c r="C675" s="107"/>
      <c r="D675" s="107"/>
      <c r="E675" s="107"/>
      <c r="F675" s="107"/>
      <c r="G675" s="107"/>
      <c r="H675" s="107"/>
      <c r="I675" s="107"/>
      <c r="J675" s="107"/>
      <c r="K675" s="107"/>
    </row>
    <row r="676" spans="1:11">
      <c r="A676" s="106"/>
      <c r="B676" s="107"/>
      <c r="C676" s="107"/>
      <c r="D676" s="107"/>
      <c r="E676" s="107"/>
      <c r="F676" s="107"/>
      <c r="G676" s="107"/>
      <c r="H676" s="107"/>
      <c r="I676" s="107"/>
      <c r="J676" s="107"/>
      <c r="K676" s="107"/>
    </row>
    <row r="677" spans="1:11">
      <c r="A677" s="106"/>
      <c r="B677" s="107"/>
      <c r="C677" s="107"/>
      <c r="D677" s="107"/>
      <c r="E677" s="107"/>
      <c r="F677" s="107"/>
      <c r="G677" s="107"/>
      <c r="H677" s="107"/>
      <c r="I677" s="107"/>
      <c r="J677" s="107"/>
      <c r="K677" s="107"/>
    </row>
    <row r="678" spans="1:11">
      <c r="A678" s="106"/>
      <c r="B678" s="107"/>
      <c r="C678" s="107"/>
      <c r="D678" s="107"/>
      <c r="E678" s="107"/>
      <c r="F678" s="107"/>
      <c r="G678" s="107"/>
      <c r="H678" s="107"/>
      <c r="I678" s="107"/>
      <c r="J678" s="107"/>
      <c r="K678" s="107"/>
    </row>
    <row r="679" spans="1:11">
      <c r="A679" s="106"/>
      <c r="B679" s="107"/>
      <c r="C679" s="107"/>
      <c r="D679" s="107"/>
      <c r="E679" s="107"/>
      <c r="F679" s="107"/>
      <c r="G679" s="107"/>
      <c r="H679" s="107"/>
      <c r="I679" s="107"/>
      <c r="J679" s="107"/>
      <c r="K679" s="107"/>
    </row>
    <row r="680" spans="1:11">
      <c r="A680" s="106"/>
      <c r="B680" s="107"/>
      <c r="C680" s="107"/>
      <c r="D680" s="107"/>
      <c r="E680" s="107"/>
      <c r="F680" s="107"/>
      <c r="G680" s="107"/>
      <c r="H680" s="107"/>
      <c r="I680" s="107"/>
      <c r="J680" s="107"/>
      <c r="K680" s="107"/>
    </row>
    <row r="681" spans="1:11">
      <c r="A681" s="106"/>
      <c r="B681" s="107"/>
      <c r="C681" s="107"/>
      <c r="D681" s="107"/>
      <c r="E681" s="107"/>
      <c r="F681" s="107"/>
      <c r="G681" s="107"/>
      <c r="H681" s="107"/>
      <c r="I681" s="107"/>
      <c r="J681" s="107"/>
      <c r="K681" s="107"/>
    </row>
    <row r="682" spans="1:11">
      <c r="A682" s="106"/>
      <c r="B682" s="107"/>
      <c r="C682" s="107"/>
      <c r="D682" s="107"/>
      <c r="E682" s="107"/>
      <c r="F682" s="107"/>
      <c r="G682" s="107"/>
      <c r="H682" s="107"/>
      <c r="I682" s="107"/>
      <c r="J682" s="107"/>
      <c r="K682" s="107"/>
    </row>
    <row r="683" spans="1:11">
      <c r="A683" s="106"/>
      <c r="B683" s="107"/>
      <c r="C683" s="107"/>
      <c r="D683" s="107"/>
      <c r="E683" s="107"/>
      <c r="F683" s="107"/>
      <c r="G683" s="107"/>
      <c r="H683" s="107"/>
      <c r="I683" s="107"/>
      <c r="J683" s="107"/>
      <c r="K683" s="107"/>
    </row>
    <row r="684" spans="1:11">
      <c r="A684" s="106"/>
      <c r="B684" s="107"/>
      <c r="C684" s="107"/>
      <c r="D684" s="107"/>
      <c r="E684" s="107"/>
      <c r="F684" s="107"/>
      <c r="G684" s="107"/>
      <c r="H684" s="107"/>
      <c r="I684" s="107"/>
      <c r="J684" s="107"/>
      <c r="K684" s="107"/>
    </row>
    <row r="685" spans="1:11">
      <c r="A685" s="106"/>
      <c r="B685" s="107"/>
      <c r="C685" s="107"/>
      <c r="D685" s="107"/>
      <c r="E685" s="107"/>
      <c r="F685" s="107"/>
      <c r="G685" s="107"/>
      <c r="H685" s="107"/>
      <c r="I685" s="107"/>
      <c r="J685" s="107"/>
      <c r="K685" s="107"/>
    </row>
    <row r="686" spans="1:11">
      <c r="A686" s="106"/>
      <c r="B686" s="107"/>
      <c r="C686" s="107"/>
      <c r="D686" s="107"/>
      <c r="E686" s="107"/>
      <c r="F686" s="107"/>
      <c r="G686" s="107"/>
      <c r="H686" s="107"/>
      <c r="I686" s="107"/>
      <c r="J686" s="107"/>
      <c r="K686" s="107"/>
    </row>
    <row r="687" spans="1:11">
      <c r="A687" s="106"/>
      <c r="B687" s="107"/>
      <c r="C687" s="107"/>
      <c r="D687" s="107"/>
      <c r="E687" s="107"/>
      <c r="F687" s="107"/>
      <c r="G687" s="107"/>
      <c r="H687" s="107"/>
      <c r="I687" s="107"/>
      <c r="J687" s="107"/>
      <c r="K687" s="107"/>
    </row>
    <row r="688" spans="1:11">
      <c r="A688" s="106"/>
      <c r="B688" s="107"/>
      <c r="C688" s="107"/>
      <c r="D688" s="107"/>
      <c r="E688" s="107"/>
      <c r="F688" s="107"/>
      <c r="G688" s="107"/>
      <c r="H688" s="107"/>
      <c r="I688" s="107"/>
      <c r="J688" s="107"/>
      <c r="K688" s="107"/>
    </row>
    <row r="689" spans="1:11">
      <c r="A689" s="106"/>
      <c r="B689" s="107"/>
      <c r="C689" s="107"/>
      <c r="D689" s="107"/>
      <c r="E689" s="107"/>
      <c r="F689" s="107"/>
      <c r="G689" s="107"/>
      <c r="H689" s="107"/>
      <c r="I689" s="107"/>
      <c r="J689" s="107"/>
      <c r="K689" s="107"/>
    </row>
    <row r="690" spans="1:11">
      <c r="A690" s="106"/>
      <c r="B690" s="107"/>
      <c r="C690" s="107"/>
      <c r="D690" s="107"/>
      <c r="E690" s="107"/>
      <c r="F690" s="107"/>
      <c r="G690" s="107"/>
      <c r="H690" s="107"/>
      <c r="I690" s="107"/>
      <c r="J690" s="107"/>
      <c r="K690" s="107"/>
    </row>
    <row r="691" spans="1:11">
      <c r="A691" s="106"/>
      <c r="B691" s="107"/>
      <c r="C691" s="107"/>
      <c r="D691" s="107"/>
      <c r="E691" s="107"/>
      <c r="F691" s="107"/>
      <c r="G691" s="107"/>
      <c r="H691" s="107"/>
      <c r="I691" s="107"/>
      <c r="J691" s="107"/>
      <c r="K691" s="107"/>
    </row>
    <row r="692" spans="1:11">
      <c r="A692" s="106"/>
      <c r="B692" s="107"/>
      <c r="C692" s="107"/>
      <c r="D692" s="107"/>
      <c r="E692" s="107"/>
      <c r="F692" s="107"/>
      <c r="G692" s="107"/>
      <c r="H692" s="107"/>
      <c r="I692" s="107"/>
      <c r="J692" s="107"/>
      <c r="K692" s="107"/>
    </row>
    <row r="693" spans="1:11">
      <c r="A693" s="106"/>
      <c r="B693" s="107"/>
      <c r="C693" s="107"/>
      <c r="D693" s="107"/>
      <c r="E693" s="107"/>
      <c r="F693" s="107"/>
      <c r="G693" s="107"/>
      <c r="H693" s="107"/>
      <c r="I693" s="107"/>
      <c r="J693" s="107"/>
      <c r="K693" s="107"/>
    </row>
    <row r="694" spans="1:11">
      <c r="A694" s="106"/>
      <c r="B694" s="107"/>
      <c r="C694" s="107"/>
      <c r="D694" s="107"/>
      <c r="E694" s="107"/>
      <c r="F694" s="107"/>
      <c r="G694" s="107"/>
      <c r="H694" s="107"/>
      <c r="I694" s="107"/>
      <c r="J694" s="107"/>
      <c r="K694" s="107"/>
    </row>
    <row r="695" spans="1:11">
      <c r="A695" s="106"/>
      <c r="B695" s="107"/>
      <c r="C695" s="107"/>
      <c r="D695" s="107"/>
      <c r="E695" s="107"/>
      <c r="F695" s="107"/>
      <c r="G695" s="107"/>
      <c r="H695" s="107"/>
      <c r="I695" s="107"/>
      <c r="J695" s="107"/>
      <c r="K695" s="107"/>
    </row>
    <row r="696" spans="1:11">
      <c r="A696" s="106"/>
      <c r="B696" s="107"/>
      <c r="C696" s="107"/>
      <c r="D696" s="107"/>
      <c r="E696" s="107"/>
      <c r="F696" s="107"/>
      <c r="G696" s="107"/>
      <c r="H696" s="107"/>
      <c r="I696" s="107"/>
      <c r="J696" s="107"/>
      <c r="K696" s="107"/>
    </row>
    <row r="697" spans="1:11">
      <c r="A697" s="106"/>
      <c r="B697" s="107"/>
      <c r="C697" s="107"/>
      <c r="D697" s="107"/>
      <c r="E697" s="107"/>
      <c r="F697" s="107"/>
      <c r="G697" s="107"/>
      <c r="H697" s="107"/>
      <c r="I697" s="107"/>
      <c r="J697" s="107"/>
      <c r="K697" s="107"/>
    </row>
    <row r="698" spans="1:11">
      <c r="A698" s="106"/>
      <c r="B698" s="107"/>
      <c r="C698" s="107"/>
      <c r="D698" s="107"/>
      <c r="E698" s="107"/>
      <c r="F698" s="107"/>
      <c r="G698" s="107"/>
      <c r="H698" s="107"/>
      <c r="I698" s="107"/>
      <c r="J698" s="107"/>
      <c r="K698" s="107"/>
    </row>
    <row r="699" spans="1:11">
      <c r="A699" s="106"/>
      <c r="B699" s="107"/>
      <c r="C699" s="107"/>
      <c r="D699" s="107"/>
      <c r="E699" s="107"/>
      <c r="F699" s="107"/>
      <c r="G699" s="107"/>
      <c r="H699" s="107"/>
      <c r="I699" s="107"/>
      <c r="J699" s="107"/>
      <c r="K699" s="107"/>
    </row>
    <row r="700" spans="1:11">
      <c r="A700" s="106"/>
      <c r="B700" s="107"/>
      <c r="C700" s="107"/>
      <c r="D700" s="107"/>
      <c r="E700" s="107"/>
      <c r="F700" s="107"/>
      <c r="G700" s="107"/>
      <c r="H700" s="107"/>
      <c r="I700" s="107"/>
      <c r="J700" s="107"/>
      <c r="K700" s="107"/>
    </row>
    <row r="701" spans="1:11">
      <c r="A701" s="106"/>
      <c r="B701" s="107"/>
      <c r="C701" s="107"/>
      <c r="D701" s="107"/>
      <c r="E701" s="107"/>
      <c r="F701" s="107"/>
      <c r="G701" s="107"/>
      <c r="H701" s="107"/>
      <c r="I701" s="107"/>
      <c r="J701" s="107"/>
      <c r="K701" s="107"/>
    </row>
    <row r="702" spans="1:11">
      <c r="A702" s="106"/>
      <c r="B702" s="107"/>
      <c r="C702" s="107"/>
      <c r="D702" s="107"/>
      <c r="E702" s="107"/>
      <c r="F702" s="107"/>
      <c r="G702" s="107"/>
      <c r="H702" s="107"/>
      <c r="I702" s="107"/>
      <c r="J702" s="107"/>
      <c r="K702" s="107"/>
    </row>
    <row r="703" spans="1:11">
      <c r="A703" s="106"/>
      <c r="B703" s="107"/>
      <c r="C703" s="107"/>
      <c r="D703" s="107"/>
      <c r="E703" s="107"/>
      <c r="F703" s="107"/>
      <c r="G703" s="107"/>
      <c r="H703" s="107"/>
      <c r="I703" s="107"/>
      <c r="J703" s="107"/>
      <c r="K703" s="107"/>
    </row>
    <row r="704" spans="1:11">
      <c r="A704" s="106"/>
      <c r="B704" s="107"/>
      <c r="C704" s="107"/>
      <c r="D704" s="107"/>
      <c r="E704" s="107"/>
      <c r="F704" s="107"/>
      <c r="G704" s="107"/>
      <c r="H704" s="107"/>
      <c r="I704" s="107"/>
      <c r="J704" s="107"/>
      <c r="K704" s="107"/>
    </row>
    <row r="705" spans="1:11">
      <c r="A705" s="106"/>
      <c r="B705" s="107"/>
      <c r="C705" s="107"/>
      <c r="D705" s="107"/>
      <c r="E705" s="107"/>
      <c r="F705" s="107"/>
      <c r="G705" s="107"/>
      <c r="H705" s="107"/>
      <c r="I705" s="107"/>
      <c r="J705" s="107"/>
      <c r="K705" s="107"/>
    </row>
    <row r="706" spans="1:11">
      <c r="A706" s="106"/>
      <c r="B706" s="107"/>
      <c r="C706" s="107"/>
      <c r="D706" s="107"/>
      <c r="E706" s="107"/>
      <c r="F706" s="107"/>
      <c r="G706" s="107"/>
      <c r="H706" s="107"/>
      <c r="I706" s="107"/>
      <c r="J706" s="107"/>
      <c r="K706" s="107"/>
    </row>
    <row r="707" spans="1:11">
      <c r="A707" s="106"/>
      <c r="B707" s="107"/>
      <c r="C707" s="107"/>
      <c r="D707" s="107"/>
      <c r="E707" s="107"/>
      <c r="F707" s="107"/>
      <c r="G707" s="107"/>
      <c r="H707" s="107"/>
      <c r="I707" s="107"/>
      <c r="J707" s="107"/>
      <c r="K707" s="107"/>
    </row>
    <row r="708" spans="1:11">
      <c r="A708" s="106"/>
      <c r="B708" s="107"/>
      <c r="C708" s="107"/>
      <c r="D708" s="107"/>
      <c r="E708" s="107"/>
      <c r="F708" s="107"/>
      <c r="G708" s="107"/>
      <c r="H708" s="107"/>
      <c r="I708" s="107"/>
      <c r="J708" s="107"/>
      <c r="K708" s="107"/>
    </row>
    <row r="709" spans="1:11">
      <c r="A709" s="106"/>
      <c r="B709" s="107"/>
      <c r="C709" s="107"/>
      <c r="D709" s="107"/>
      <c r="E709" s="107"/>
      <c r="F709" s="107"/>
      <c r="G709" s="107"/>
      <c r="H709" s="107"/>
      <c r="I709" s="107"/>
      <c r="J709" s="107"/>
      <c r="K709" s="107"/>
    </row>
    <row r="710" spans="1:11">
      <c r="A710" s="106"/>
      <c r="B710" s="107"/>
      <c r="C710" s="107"/>
      <c r="D710" s="107"/>
      <c r="E710" s="107"/>
      <c r="F710" s="107"/>
      <c r="G710" s="107"/>
      <c r="H710" s="107"/>
      <c r="I710" s="107"/>
      <c r="J710" s="107"/>
      <c r="K710" s="107"/>
    </row>
    <row r="711" spans="1:11">
      <c r="A711" s="106"/>
      <c r="B711" s="107"/>
      <c r="C711" s="107"/>
      <c r="D711" s="107"/>
      <c r="E711" s="107"/>
      <c r="F711" s="107"/>
      <c r="G711" s="107"/>
      <c r="H711" s="107"/>
      <c r="I711" s="107"/>
      <c r="J711" s="107"/>
      <c r="K711" s="107"/>
    </row>
    <row r="712" spans="1:11">
      <c r="A712" s="106"/>
      <c r="B712" s="107"/>
      <c r="C712" s="107"/>
      <c r="D712" s="107"/>
      <c r="E712" s="107"/>
      <c r="F712" s="107"/>
      <c r="G712" s="107"/>
      <c r="H712" s="107"/>
      <c r="I712" s="107"/>
      <c r="J712" s="107"/>
      <c r="K712" s="107"/>
    </row>
    <row r="713" spans="1:11">
      <c r="A713" s="106"/>
      <c r="B713" s="107"/>
      <c r="C713" s="107"/>
      <c r="D713" s="107"/>
      <c r="E713" s="107"/>
      <c r="F713" s="107"/>
      <c r="G713" s="107"/>
      <c r="H713" s="107"/>
      <c r="I713" s="107"/>
      <c r="J713" s="107"/>
      <c r="K713" s="107"/>
    </row>
    <row r="714" spans="1:11">
      <c r="A714" s="106"/>
      <c r="B714" s="107"/>
      <c r="C714" s="107"/>
      <c r="D714" s="107"/>
      <c r="E714" s="108"/>
      <c r="F714" s="107"/>
      <c r="G714" s="107"/>
      <c r="H714" s="107"/>
      <c r="I714" s="107"/>
      <c r="J714" s="107"/>
      <c r="K714" s="107"/>
    </row>
    <row r="715" spans="1:11">
      <c r="A715" s="106"/>
      <c r="B715" s="107"/>
      <c r="C715" s="107"/>
      <c r="D715" s="107"/>
      <c r="E715" s="108"/>
      <c r="F715" s="107"/>
      <c r="G715" s="107"/>
      <c r="H715" s="107"/>
      <c r="I715" s="107"/>
      <c r="J715" s="107"/>
      <c r="K715" s="107"/>
    </row>
    <row r="716" spans="1:11">
      <c r="A716" s="106"/>
      <c r="B716" s="107"/>
      <c r="C716" s="107"/>
      <c r="D716" s="107"/>
      <c r="E716" s="108"/>
      <c r="F716" s="107"/>
      <c r="G716" s="107"/>
      <c r="H716" s="107"/>
      <c r="I716" s="107"/>
      <c r="J716" s="107"/>
      <c r="K716" s="107"/>
    </row>
    <row r="717" spans="1:11">
      <c r="A717" s="106"/>
      <c r="B717" s="107"/>
      <c r="C717" s="107"/>
      <c r="D717" s="107"/>
      <c r="E717" s="108"/>
      <c r="F717" s="107"/>
      <c r="G717" s="107"/>
      <c r="H717" s="107"/>
      <c r="I717" s="107"/>
      <c r="J717" s="107"/>
      <c r="K717" s="107"/>
    </row>
    <row r="718" spans="1:11">
      <c r="A718" s="106"/>
      <c r="B718" s="107"/>
      <c r="C718" s="107"/>
      <c r="D718" s="107"/>
      <c r="E718" s="108"/>
      <c r="F718" s="107"/>
      <c r="G718" s="107"/>
      <c r="H718" s="107"/>
      <c r="I718" s="107"/>
      <c r="J718" s="107"/>
      <c r="K718" s="107"/>
    </row>
    <row r="719" spans="1:11">
      <c r="A719" s="106"/>
      <c r="B719" s="107"/>
      <c r="C719" s="107"/>
      <c r="D719" s="107"/>
      <c r="E719" s="108"/>
      <c r="F719" s="107"/>
      <c r="G719" s="107"/>
      <c r="H719" s="107"/>
      <c r="I719" s="107"/>
      <c r="J719" s="107"/>
      <c r="K719" s="107"/>
    </row>
    <row r="720" spans="1:11">
      <c r="A720" s="106"/>
      <c r="B720" s="107"/>
      <c r="C720" s="107"/>
      <c r="D720" s="107"/>
      <c r="E720" s="108"/>
      <c r="F720" s="107"/>
      <c r="G720" s="107"/>
      <c r="H720" s="107"/>
      <c r="I720" s="107"/>
      <c r="J720" s="107"/>
      <c r="K720" s="107"/>
    </row>
    <row r="721" spans="1:11">
      <c r="A721" s="106"/>
      <c r="B721" s="107"/>
      <c r="C721" s="107"/>
      <c r="D721" s="107"/>
      <c r="E721" s="108"/>
      <c r="F721" s="107"/>
      <c r="G721" s="107"/>
      <c r="H721" s="107"/>
      <c r="I721" s="107"/>
      <c r="J721" s="107"/>
      <c r="K721" s="107"/>
    </row>
    <row r="722" spans="1:11">
      <c r="A722" s="106"/>
      <c r="B722" s="107"/>
      <c r="C722" s="107"/>
      <c r="D722" s="107"/>
      <c r="E722" s="108"/>
      <c r="F722" s="107"/>
      <c r="G722" s="107"/>
      <c r="H722" s="107"/>
      <c r="I722" s="107"/>
      <c r="J722" s="107"/>
      <c r="K722" s="107"/>
    </row>
    <row r="723" spans="1:11">
      <c r="A723" s="106"/>
      <c r="B723" s="107"/>
      <c r="C723" s="107"/>
      <c r="D723" s="107"/>
      <c r="E723" s="108"/>
      <c r="F723" s="107"/>
      <c r="G723" s="107"/>
      <c r="H723" s="107"/>
      <c r="I723" s="107"/>
      <c r="J723" s="107"/>
      <c r="K723" s="107"/>
    </row>
    <row r="724" spans="1:11">
      <c r="A724" s="106"/>
      <c r="B724" s="107"/>
      <c r="C724" s="107"/>
      <c r="D724" s="107"/>
      <c r="E724" s="108"/>
      <c r="F724" s="107"/>
      <c r="G724" s="107"/>
      <c r="H724" s="107"/>
      <c r="I724" s="107"/>
      <c r="J724" s="107"/>
      <c r="K724" s="107"/>
    </row>
    <row r="725" spans="1:11">
      <c r="A725" s="106"/>
      <c r="B725" s="107"/>
      <c r="C725" s="107"/>
      <c r="D725" s="107"/>
      <c r="E725" s="108"/>
      <c r="F725" s="107"/>
      <c r="G725" s="107"/>
      <c r="H725" s="107"/>
      <c r="I725" s="107"/>
      <c r="J725" s="107"/>
      <c r="K725" s="107"/>
    </row>
    <row r="726" spans="1:11">
      <c r="A726" s="106"/>
      <c r="B726" s="107"/>
      <c r="C726" s="107"/>
      <c r="D726" s="107"/>
      <c r="E726" s="108"/>
      <c r="F726" s="107"/>
      <c r="G726" s="107"/>
      <c r="H726" s="107"/>
      <c r="I726" s="107"/>
      <c r="J726" s="107"/>
      <c r="K726" s="107"/>
    </row>
    <row r="727" spans="1:11">
      <c r="A727" s="106"/>
      <c r="B727" s="107"/>
      <c r="C727" s="107"/>
      <c r="D727" s="107"/>
      <c r="E727" s="108"/>
      <c r="F727" s="107"/>
      <c r="G727" s="107"/>
      <c r="H727" s="107"/>
      <c r="I727" s="107"/>
      <c r="J727" s="107"/>
      <c r="K727" s="107"/>
    </row>
    <row r="728" spans="1:11">
      <c r="A728" s="106"/>
      <c r="B728" s="107"/>
      <c r="C728" s="107"/>
      <c r="D728" s="107"/>
      <c r="E728" s="108"/>
      <c r="F728" s="107"/>
      <c r="G728" s="107"/>
      <c r="H728" s="107"/>
      <c r="I728" s="107"/>
      <c r="J728" s="107"/>
      <c r="K728" s="107"/>
    </row>
    <row r="729" spans="1:11">
      <c r="A729" s="106"/>
      <c r="B729" s="107"/>
      <c r="C729" s="107"/>
      <c r="D729" s="107"/>
      <c r="E729" s="108"/>
      <c r="F729" s="107"/>
      <c r="G729" s="107"/>
      <c r="H729" s="107"/>
      <c r="I729" s="107"/>
      <c r="J729" s="107"/>
      <c r="K729" s="107"/>
    </row>
    <row r="730" spans="1:11">
      <c r="A730" s="106"/>
      <c r="B730" s="107"/>
      <c r="C730" s="107"/>
      <c r="D730" s="107"/>
      <c r="E730" s="108"/>
      <c r="F730" s="107"/>
      <c r="G730" s="107"/>
      <c r="H730" s="107"/>
      <c r="I730" s="107"/>
      <c r="J730" s="107"/>
      <c r="K730" s="107"/>
    </row>
    <row r="731" spans="1:11">
      <c r="A731" s="106"/>
      <c r="B731" s="107"/>
      <c r="C731" s="107"/>
      <c r="D731" s="107"/>
      <c r="E731" s="108"/>
      <c r="F731" s="107"/>
      <c r="G731" s="107"/>
      <c r="H731" s="107"/>
      <c r="I731" s="107"/>
      <c r="J731" s="107"/>
      <c r="K731" s="107"/>
    </row>
    <row r="732" spans="1:11">
      <c r="A732" s="106"/>
      <c r="B732" s="107"/>
      <c r="C732" s="107"/>
      <c r="D732" s="107"/>
      <c r="E732" s="108"/>
      <c r="F732" s="107"/>
      <c r="G732" s="107"/>
      <c r="H732" s="107"/>
      <c r="I732" s="107"/>
      <c r="J732" s="107"/>
      <c r="K732" s="107"/>
    </row>
    <row r="733" spans="1:11">
      <c r="A733" s="106"/>
      <c r="B733" s="107"/>
      <c r="C733" s="107"/>
      <c r="D733" s="107"/>
      <c r="E733" s="108"/>
      <c r="F733" s="107"/>
      <c r="G733" s="107"/>
      <c r="H733" s="107"/>
      <c r="I733" s="107"/>
      <c r="J733" s="107"/>
      <c r="K733" s="107"/>
    </row>
    <row r="734" spans="1:11">
      <c r="A734" s="106"/>
      <c r="B734" s="107"/>
      <c r="C734" s="107"/>
      <c r="D734" s="107"/>
      <c r="E734" s="108"/>
      <c r="F734" s="107"/>
      <c r="G734" s="107"/>
      <c r="H734" s="107"/>
      <c r="I734" s="107"/>
      <c r="J734" s="107"/>
      <c r="K734" s="107"/>
    </row>
    <row r="735" spans="1:11">
      <c r="A735" s="106"/>
      <c r="B735" s="107"/>
      <c r="C735" s="107"/>
      <c r="D735" s="107"/>
      <c r="E735" s="108"/>
      <c r="F735" s="107"/>
      <c r="G735" s="107"/>
      <c r="H735" s="107"/>
      <c r="I735" s="107"/>
      <c r="J735" s="107"/>
      <c r="K735" s="107"/>
    </row>
    <row r="736" spans="1:11">
      <c r="A736" s="106"/>
      <c r="B736" s="107"/>
      <c r="C736" s="107"/>
      <c r="D736" s="107"/>
      <c r="E736" s="108"/>
      <c r="F736" s="107"/>
      <c r="G736" s="107"/>
      <c r="H736" s="107"/>
      <c r="I736" s="107"/>
      <c r="J736" s="107"/>
      <c r="K736" s="107"/>
    </row>
    <row r="737" spans="1:11">
      <c r="A737" s="106"/>
      <c r="B737" s="107"/>
      <c r="C737" s="107"/>
      <c r="D737" s="107"/>
      <c r="E737" s="108"/>
      <c r="F737" s="107"/>
      <c r="G737" s="107"/>
      <c r="H737" s="107"/>
      <c r="I737" s="107"/>
      <c r="J737" s="107"/>
      <c r="K737" s="107"/>
    </row>
    <row r="738" spans="1:11">
      <c r="A738" s="106"/>
      <c r="B738" s="107"/>
      <c r="C738" s="107"/>
      <c r="D738" s="107"/>
      <c r="E738" s="108"/>
      <c r="F738" s="107"/>
      <c r="G738" s="107"/>
      <c r="H738" s="107"/>
      <c r="I738" s="107"/>
      <c r="J738" s="107"/>
      <c r="K738" s="107"/>
    </row>
    <row r="739" spans="1:11">
      <c r="A739" s="106"/>
      <c r="B739" s="107"/>
      <c r="C739" s="107"/>
      <c r="D739" s="107"/>
      <c r="E739" s="108"/>
      <c r="F739" s="107"/>
      <c r="G739" s="107"/>
      <c r="H739" s="107"/>
      <c r="I739" s="107"/>
      <c r="J739" s="107"/>
      <c r="K739" s="107"/>
    </row>
    <row r="740" spans="1:11">
      <c r="A740" s="106"/>
      <c r="B740" s="107"/>
      <c r="C740" s="107"/>
      <c r="D740" s="107"/>
      <c r="E740" s="108"/>
      <c r="F740" s="107"/>
      <c r="G740" s="107"/>
      <c r="H740" s="107"/>
      <c r="I740" s="107"/>
      <c r="J740" s="107"/>
      <c r="K740" s="107"/>
    </row>
    <row r="741" spans="1:11">
      <c r="A741" s="106"/>
      <c r="B741" s="107"/>
      <c r="C741" s="107"/>
      <c r="D741" s="107"/>
      <c r="E741" s="108"/>
      <c r="F741" s="107"/>
      <c r="G741" s="107"/>
      <c r="H741" s="107"/>
      <c r="I741" s="107"/>
      <c r="J741" s="107"/>
      <c r="K741" s="107"/>
    </row>
    <row r="742" spans="1:11">
      <c r="A742" s="106"/>
      <c r="B742" s="107"/>
      <c r="C742" s="107"/>
      <c r="D742" s="107"/>
      <c r="E742" s="108"/>
      <c r="F742" s="107"/>
      <c r="G742" s="107"/>
      <c r="H742" s="107"/>
      <c r="I742" s="107"/>
      <c r="J742" s="107"/>
      <c r="K742" s="107"/>
    </row>
    <row r="743" spans="1:11">
      <c r="A743" s="106"/>
      <c r="B743" s="107"/>
      <c r="C743" s="107"/>
      <c r="D743" s="107"/>
      <c r="E743" s="108"/>
      <c r="F743" s="107"/>
      <c r="G743" s="107"/>
      <c r="H743" s="107"/>
      <c r="I743" s="107"/>
      <c r="J743" s="107"/>
      <c r="K743" s="107"/>
    </row>
    <row r="744" spans="1:11">
      <c r="A744" s="106"/>
      <c r="B744" s="107"/>
      <c r="C744" s="107"/>
      <c r="D744" s="107"/>
      <c r="E744" s="108"/>
      <c r="F744" s="107"/>
      <c r="G744" s="107"/>
      <c r="H744" s="107"/>
      <c r="I744" s="107"/>
      <c r="J744" s="107"/>
      <c r="K744" s="107"/>
    </row>
    <row r="745" spans="1:11">
      <c r="A745" s="106"/>
      <c r="B745" s="107"/>
      <c r="C745" s="107"/>
      <c r="D745" s="107"/>
      <c r="E745" s="108"/>
      <c r="F745" s="107"/>
      <c r="G745" s="107"/>
      <c r="H745" s="107"/>
      <c r="I745" s="107"/>
      <c r="J745" s="107"/>
      <c r="K745" s="107"/>
    </row>
    <row r="746" spans="1:11">
      <c r="A746" s="106"/>
      <c r="B746" s="107"/>
      <c r="C746" s="107"/>
      <c r="D746" s="107"/>
      <c r="E746" s="108"/>
      <c r="F746" s="107"/>
      <c r="G746" s="107"/>
      <c r="H746" s="107"/>
      <c r="I746" s="107"/>
      <c r="J746" s="107"/>
      <c r="K746" s="107"/>
    </row>
    <row r="747" spans="1:11">
      <c r="A747" s="106"/>
      <c r="B747" s="107"/>
      <c r="C747" s="107"/>
      <c r="D747" s="107"/>
      <c r="E747" s="108"/>
      <c r="F747" s="107"/>
      <c r="G747" s="107"/>
      <c r="H747" s="107"/>
      <c r="I747" s="107"/>
      <c r="J747" s="107"/>
      <c r="K747" s="107"/>
    </row>
    <row r="748" spans="1:11">
      <c r="A748" s="106"/>
      <c r="B748" s="107"/>
      <c r="C748" s="107"/>
      <c r="D748" s="107"/>
      <c r="E748" s="108"/>
      <c r="F748" s="107"/>
      <c r="G748" s="107"/>
      <c r="H748" s="107"/>
      <c r="I748" s="107"/>
      <c r="J748" s="107"/>
      <c r="K748" s="107"/>
    </row>
    <row r="749" spans="1:11">
      <c r="A749" s="106"/>
      <c r="B749" s="107"/>
      <c r="C749" s="107"/>
      <c r="D749" s="107"/>
      <c r="E749" s="108"/>
      <c r="F749" s="107"/>
      <c r="G749" s="107"/>
      <c r="H749" s="107"/>
      <c r="I749" s="107"/>
      <c r="J749" s="107"/>
      <c r="K749" s="107"/>
    </row>
    <row r="750" spans="1:11">
      <c r="A750" s="106"/>
      <c r="B750" s="107"/>
      <c r="C750" s="107"/>
      <c r="D750" s="107"/>
      <c r="E750" s="108"/>
      <c r="F750" s="107"/>
      <c r="G750" s="107"/>
      <c r="H750" s="107"/>
      <c r="I750" s="107"/>
      <c r="J750" s="107"/>
      <c r="K750" s="107"/>
    </row>
    <row r="751" spans="1:11">
      <c r="A751" s="106"/>
      <c r="B751" s="107"/>
      <c r="C751" s="107"/>
      <c r="D751" s="107"/>
      <c r="E751" s="108"/>
      <c r="F751" s="107"/>
      <c r="G751" s="107"/>
      <c r="H751" s="107"/>
      <c r="I751" s="107"/>
      <c r="J751" s="107"/>
      <c r="K751" s="107"/>
    </row>
    <row r="752" spans="1:11">
      <c r="A752" s="106"/>
      <c r="B752" s="107"/>
      <c r="C752" s="107"/>
      <c r="D752" s="107"/>
      <c r="E752" s="108"/>
      <c r="F752" s="107"/>
      <c r="G752" s="107"/>
      <c r="H752" s="107"/>
      <c r="I752" s="107"/>
      <c r="J752" s="107"/>
      <c r="K752" s="107"/>
    </row>
    <row r="753" spans="1:11">
      <c r="A753" s="106"/>
      <c r="B753" s="107"/>
      <c r="C753" s="107"/>
      <c r="D753" s="107"/>
      <c r="E753" s="108"/>
      <c r="F753" s="107"/>
      <c r="G753" s="107"/>
      <c r="H753" s="107"/>
      <c r="I753" s="107"/>
      <c r="J753" s="107"/>
      <c r="K753" s="107"/>
    </row>
    <row r="754" spans="1:11">
      <c r="A754" s="106"/>
      <c r="B754" s="107"/>
      <c r="C754" s="107"/>
      <c r="D754" s="107"/>
      <c r="E754" s="108"/>
      <c r="F754" s="107"/>
      <c r="G754" s="107"/>
      <c r="H754" s="107"/>
      <c r="I754" s="107"/>
      <c r="J754" s="107"/>
      <c r="K754" s="107"/>
    </row>
    <row r="755" spans="1:11">
      <c r="A755" s="106"/>
      <c r="B755" s="107"/>
      <c r="C755" s="107"/>
      <c r="D755" s="107"/>
      <c r="E755" s="108"/>
      <c r="F755" s="107"/>
      <c r="G755" s="107"/>
      <c r="H755" s="107"/>
      <c r="I755" s="107"/>
      <c r="J755" s="107"/>
      <c r="K755" s="107"/>
    </row>
    <row r="756" spans="1:11">
      <c r="A756" s="106"/>
      <c r="B756" s="107"/>
      <c r="C756" s="107"/>
      <c r="D756" s="107"/>
      <c r="E756" s="108"/>
      <c r="F756" s="107"/>
      <c r="G756" s="107"/>
      <c r="H756" s="107"/>
      <c r="I756" s="107"/>
      <c r="J756" s="107"/>
      <c r="K756" s="107"/>
    </row>
    <row r="757" spans="1:11">
      <c r="A757" s="106"/>
      <c r="B757" s="107"/>
      <c r="C757" s="107"/>
      <c r="D757" s="107"/>
      <c r="E757" s="108"/>
      <c r="F757" s="107"/>
      <c r="G757" s="107"/>
      <c r="H757" s="107"/>
      <c r="I757" s="107"/>
      <c r="J757" s="107"/>
      <c r="K757" s="107"/>
    </row>
    <row r="758" spans="1:11">
      <c r="A758" s="106"/>
      <c r="B758" s="107"/>
      <c r="C758" s="107"/>
      <c r="D758" s="107"/>
      <c r="E758" s="108"/>
      <c r="F758" s="107"/>
      <c r="G758" s="107"/>
      <c r="H758" s="107"/>
      <c r="I758" s="107"/>
      <c r="J758" s="107"/>
      <c r="K758" s="107"/>
    </row>
    <row r="759" spans="1:11">
      <c r="A759" s="106"/>
      <c r="B759" s="107"/>
      <c r="C759" s="107"/>
      <c r="D759" s="107"/>
      <c r="E759" s="108"/>
      <c r="F759" s="107"/>
      <c r="G759" s="107"/>
      <c r="H759" s="107"/>
      <c r="I759" s="107"/>
      <c r="J759" s="107"/>
      <c r="K759" s="107"/>
    </row>
    <row r="760" spans="1:11">
      <c r="A760" s="106"/>
      <c r="B760" s="107"/>
      <c r="C760" s="107"/>
      <c r="D760" s="107"/>
      <c r="E760" s="108"/>
      <c r="F760" s="107"/>
      <c r="G760" s="107"/>
      <c r="H760" s="107"/>
      <c r="I760" s="107"/>
      <c r="J760" s="107"/>
      <c r="K760" s="107"/>
    </row>
    <row r="761" spans="1:11">
      <c r="A761" s="106"/>
      <c r="B761" s="107"/>
      <c r="C761" s="107"/>
      <c r="D761" s="107"/>
      <c r="E761" s="108"/>
      <c r="F761" s="107"/>
      <c r="G761" s="107"/>
      <c r="H761" s="107"/>
      <c r="I761" s="107"/>
      <c r="J761" s="107"/>
      <c r="K761" s="107"/>
    </row>
    <row r="762" spans="1:11">
      <c r="A762" s="106"/>
      <c r="B762" s="107"/>
      <c r="C762" s="107"/>
      <c r="D762" s="107"/>
      <c r="E762" s="108"/>
      <c r="F762" s="107"/>
      <c r="G762" s="107"/>
      <c r="H762" s="107"/>
      <c r="I762" s="107"/>
      <c r="J762" s="107"/>
      <c r="K762" s="107"/>
    </row>
    <row r="763" spans="1:11">
      <c r="A763" s="106"/>
      <c r="B763" s="107"/>
      <c r="C763" s="107"/>
      <c r="D763" s="107"/>
      <c r="E763" s="108"/>
      <c r="F763" s="107"/>
      <c r="G763" s="107"/>
      <c r="H763" s="107"/>
      <c r="I763" s="107"/>
      <c r="J763" s="107"/>
      <c r="K763" s="107"/>
    </row>
    <row r="764" spans="1:11">
      <c r="A764" s="106"/>
      <c r="B764" s="107"/>
      <c r="C764" s="107"/>
      <c r="D764" s="107"/>
      <c r="E764" s="108"/>
      <c r="F764" s="107"/>
      <c r="G764" s="107"/>
      <c r="H764" s="107"/>
      <c r="I764" s="107"/>
      <c r="J764" s="107"/>
      <c r="K764" s="107"/>
    </row>
    <row r="765" spans="1:11">
      <c r="A765" s="106"/>
      <c r="B765" s="107"/>
      <c r="C765" s="107"/>
      <c r="D765" s="107"/>
      <c r="E765" s="108"/>
      <c r="F765" s="107"/>
      <c r="G765" s="107"/>
      <c r="H765" s="107"/>
      <c r="I765" s="107"/>
      <c r="J765" s="107"/>
      <c r="K765" s="107"/>
    </row>
    <row r="766" spans="1:11">
      <c r="A766" s="106"/>
      <c r="B766" s="107"/>
      <c r="C766" s="107"/>
      <c r="D766" s="107"/>
      <c r="E766" s="108"/>
      <c r="F766" s="107"/>
      <c r="G766" s="107"/>
      <c r="H766" s="107"/>
      <c r="I766" s="107"/>
      <c r="J766" s="107"/>
      <c r="K766" s="107"/>
    </row>
    <row r="767" spans="1:11">
      <c r="A767" s="106"/>
      <c r="B767" s="107"/>
      <c r="C767" s="107"/>
      <c r="D767" s="107"/>
      <c r="E767" s="108"/>
      <c r="F767" s="107"/>
      <c r="G767" s="107"/>
      <c r="H767" s="107"/>
      <c r="I767" s="107"/>
      <c r="J767" s="107"/>
      <c r="K767" s="107"/>
    </row>
    <row r="768" spans="1:11">
      <c r="A768" s="106"/>
      <c r="B768" s="107"/>
      <c r="C768" s="107"/>
      <c r="D768" s="107"/>
      <c r="E768" s="108"/>
      <c r="F768" s="107"/>
      <c r="G768" s="107"/>
      <c r="H768" s="107"/>
      <c r="I768" s="107"/>
      <c r="J768" s="107"/>
      <c r="K768" s="107"/>
    </row>
    <row r="769" spans="1:11">
      <c r="A769" s="106"/>
      <c r="B769" s="107"/>
      <c r="C769" s="107"/>
      <c r="D769" s="107"/>
      <c r="E769" s="108"/>
      <c r="F769" s="107"/>
      <c r="G769" s="107"/>
      <c r="H769" s="107"/>
      <c r="I769" s="107"/>
      <c r="J769" s="107"/>
      <c r="K769" s="107"/>
    </row>
    <row r="770" spans="1:11">
      <c r="A770" s="106"/>
      <c r="B770" s="107"/>
      <c r="C770" s="107"/>
      <c r="D770" s="107"/>
      <c r="E770" s="108"/>
      <c r="F770" s="107"/>
      <c r="G770" s="107"/>
      <c r="H770" s="107"/>
      <c r="I770" s="107"/>
      <c r="J770" s="107"/>
      <c r="K770" s="107"/>
    </row>
    <row r="771" spans="1:11">
      <c r="A771" s="106"/>
      <c r="B771" s="107"/>
      <c r="C771" s="107"/>
      <c r="D771" s="107"/>
      <c r="E771" s="108"/>
      <c r="F771" s="107"/>
      <c r="G771" s="107"/>
      <c r="H771" s="107"/>
      <c r="I771" s="107"/>
      <c r="J771" s="107"/>
      <c r="K771" s="107"/>
    </row>
    <row r="772" spans="1:11">
      <c r="A772" s="106"/>
      <c r="B772" s="107"/>
      <c r="C772" s="107"/>
      <c r="D772" s="107"/>
      <c r="E772" s="108"/>
      <c r="F772" s="107"/>
      <c r="G772" s="107"/>
      <c r="H772" s="107"/>
      <c r="I772" s="107"/>
      <c r="J772" s="107"/>
      <c r="K772" s="107"/>
    </row>
    <row r="773" spans="1:11">
      <c r="A773" s="106"/>
      <c r="B773" s="107"/>
      <c r="C773" s="107"/>
      <c r="D773" s="107"/>
      <c r="E773" s="108"/>
      <c r="F773" s="107"/>
      <c r="G773" s="107"/>
      <c r="H773" s="107"/>
      <c r="I773" s="107"/>
      <c r="J773" s="107"/>
      <c r="K773" s="107"/>
    </row>
    <row r="774" spans="1:11">
      <c r="A774" s="106"/>
      <c r="B774" s="107"/>
      <c r="C774" s="107"/>
      <c r="D774" s="107"/>
      <c r="E774" s="108"/>
      <c r="F774" s="107"/>
      <c r="G774" s="107"/>
      <c r="H774" s="107"/>
      <c r="I774" s="107"/>
      <c r="J774" s="107"/>
      <c r="K774" s="107"/>
    </row>
    <row r="775" spans="1:11">
      <c r="A775" s="106"/>
      <c r="B775" s="107"/>
      <c r="C775" s="107"/>
      <c r="D775" s="107"/>
      <c r="E775" s="108"/>
      <c r="F775" s="107"/>
      <c r="G775" s="107"/>
      <c r="H775" s="107"/>
      <c r="I775" s="107"/>
      <c r="J775" s="107"/>
      <c r="K775" s="107"/>
    </row>
    <row r="776" spans="1:11">
      <c r="A776" s="106"/>
      <c r="B776" s="107"/>
      <c r="C776" s="107"/>
      <c r="D776" s="107"/>
      <c r="E776" s="108"/>
      <c r="F776" s="107"/>
      <c r="G776" s="107"/>
      <c r="H776" s="107"/>
      <c r="I776" s="107"/>
      <c r="J776" s="107"/>
      <c r="K776" s="107"/>
    </row>
    <row r="777" spans="1:11">
      <c r="A777" s="106"/>
      <c r="B777" s="107"/>
      <c r="C777" s="107"/>
      <c r="D777" s="107"/>
      <c r="E777" s="108"/>
      <c r="F777" s="107"/>
      <c r="G777" s="107"/>
      <c r="H777" s="107"/>
      <c r="I777" s="107"/>
      <c r="J777" s="107"/>
      <c r="K777" s="107"/>
    </row>
    <row r="778" spans="1:11">
      <c r="A778" s="106"/>
      <c r="B778" s="107"/>
      <c r="C778" s="107"/>
      <c r="D778" s="107"/>
      <c r="E778" s="108"/>
      <c r="F778" s="107"/>
      <c r="G778" s="107"/>
      <c r="H778" s="107"/>
      <c r="I778" s="107"/>
      <c r="J778" s="107"/>
      <c r="K778" s="107"/>
    </row>
    <row r="779" spans="1:11">
      <c r="A779" s="106"/>
      <c r="B779" s="107"/>
      <c r="C779" s="107"/>
      <c r="D779" s="107"/>
      <c r="E779" s="108"/>
      <c r="F779" s="107"/>
      <c r="G779" s="107"/>
      <c r="H779" s="107"/>
      <c r="I779" s="107"/>
      <c r="J779" s="107"/>
      <c r="K779" s="107"/>
    </row>
    <row r="780" spans="1:11">
      <c r="A780" s="106"/>
      <c r="B780" s="107"/>
      <c r="C780" s="107"/>
      <c r="D780" s="107"/>
      <c r="E780" s="108"/>
      <c r="F780" s="107"/>
      <c r="G780" s="107"/>
      <c r="H780" s="107"/>
      <c r="I780" s="107"/>
      <c r="J780" s="107"/>
      <c r="K780" s="107"/>
    </row>
    <row r="781" spans="1:11">
      <c r="A781" s="106"/>
      <c r="B781" s="107"/>
      <c r="C781" s="107"/>
      <c r="D781" s="107"/>
      <c r="E781" s="108"/>
      <c r="F781" s="107"/>
      <c r="G781" s="107"/>
      <c r="H781" s="107"/>
      <c r="I781" s="107"/>
      <c r="J781" s="107"/>
      <c r="K781" s="107"/>
    </row>
    <row r="782" spans="1:11">
      <c r="A782" s="106"/>
      <c r="B782" s="107"/>
      <c r="C782" s="107"/>
      <c r="D782" s="107"/>
      <c r="E782" s="108"/>
      <c r="F782" s="107"/>
      <c r="G782" s="107"/>
      <c r="H782" s="107"/>
      <c r="I782" s="107"/>
      <c r="J782" s="107"/>
      <c r="K782" s="107"/>
    </row>
    <row r="783" spans="1:11">
      <c r="A783" s="106"/>
      <c r="B783" s="107"/>
      <c r="C783" s="107"/>
      <c r="D783" s="107"/>
      <c r="E783" s="108"/>
      <c r="F783" s="107"/>
      <c r="G783" s="107"/>
      <c r="H783" s="107"/>
      <c r="I783" s="107"/>
      <c r="J783" s="107"/>
      <c r="K783" s="107"/>
    </row>
    <row r="784" spans="1:11">
      <c r="A784" s="106"/>
      <c r="B784" s="107"/>
      <c r="C784" s="107"/>
      <c r="D784" s="107"/>
      <c r="E784" s="108"/>
      <c r="F784" s="107"/>
      <c r="G784" s="107"/>
      <c r="H784" s="107"/>
      <c r="I784" s="107"/>
      <c r="J784" s="107"/>
      <c r="K784" s="107"/>
    </row>
    <row r="785" spans="1:11">
      <c r="A785" s="106"/>
      <c r="B785" s="107"/>
      <c r="C785" s="107"/>
      <c r="D785" s="107"/>
      <c r="E785" s="108"/>
      <c r="F785" s="107"/>
      <c r="G785" s="107"/>
      <c r="H785" s="107"/>
      <c r="I785" s="107"/>
      <c r="J785" s="107"/>
      <c r="K785" s="107"/>
    </row>
    <row r="786" spans="1:11">
      <c r="A786" s="106"/>
      <c r="B786" s="107"/>
      <c r="C786" s="107"/>
      <c r="D786" s="107"/>
      <c r="E786" s="108"/>
      <c r="F786" s="107"/>
      <c r="G786" s="107"/>
      <c r="H786" s="107"/>
      <c r="I786" s="107"/>
      <c r="J786" s="107"/>
      <c r="K786" s="107"/>
    </row>
    <row r="787" spans="1:11">
      <c r="A787" s="106"/>
      <c r="B787" s="107"/>
      <c r="C787" s="107"/>
      <c r="D787" s="107"/>
      <c r="E787" s="108"/>
      <c r="F787" s="107"/>
      <c r="G787" s="107"/>
      <c r="H787" s="107"/>
      <c r="I787" s="107"/>
      <c r="J787" s="107"/>
      <c r="K787" s="107"/>
    </row>
    <row r="788" spans="1:11">
      <c r="A788" s="106"/>
      <c r="B788" s="107"/>
      <c r="C788" s="107"/>
      <c r="D788" s="107"/>
      <c r="E788" s="108"/>
      <c r="F788" s="107"/>
      <c r="G788" s="107"/>
      <c r="H788" s="107"/>
      <c r="I788" s="107"/>
      <c r="J788" s="107"/>
      <c r="K788" s="107"/>
    </row>
    <row r="789" spans="1:11">
      <c r="A789" s="106"/>
      <c r="B789" s="107"/>
      <c r="C789" s="107"/>
      <c r="D789" s="107"/>
      <c r="E789" s="108"/>
      <c r="F789" s="107"/>
      <c r="G789" s="107"/>
      <c r="H789" s="107"/>
      <c r="I789" s="107"/>
      <c r="J789" s="107"/>
      <c r="K789" s="107"/>
    </row>
    <row r="790" spans="1:11">
      <c r="A790" s="106"/>
      <c r="B790" s="107"/>
      <c r="C790" s="107"/>
      <c r="D790" s="107"/>
      <c r="E790" s="108"/>
      <c r="F790" s="107"/>
      <c r="G790" s="107"/>
      <c r="H790" s="107"/>
      <c r="I790" s="107"/>
      <c r="J790" s="107"/>
      <c r="K790" s="107"/>
    </row>
    <row r="791" spans="1:11">
      <c r="A791" s="106"/>
      <c r="B791" s="107"/>
      <c r="C791" s="107"/>
      <c r="D791" s="107"/>
      <c r="E791" s="108"/>
      <c r="F791" s="107"/>
      <c r="G791" s="107"/>
      <c r="H791" s="107"/>
      <c r="I791" s="107"/>
      <c r="J791" s="107"/>
      <c r="K791" s="107"/>
    </row>
    <row r="792" spans="1:11">
      <c r="A792" s="106"/>
      <c r="B792" s="107"/>
      <c r="C792" s="107"/>
      <c r="D792" s="107"/>
      <c r="E792" s="108"/>
      <c r="F792" s="107"/>
      <c r="G792" s="107"/>
      <c r="H792" s="107"/>
      <c r="I792" s="107"/>
      <c r="J792" s="107"/>
      <c r="K792" s="107"/>
    </row>
    <row r="793" spans="1:11">
      <c r="A793" s="106"/>
      <c r="B793" s="107"/>
      <c r="C793" s="107"/>
      <c r="D793" s="107"/>
      <c r="E793" s="108"/>
      <c r="F793" s="107"/>
      <c r="G793" s="107"/>
      <c r="H793" s="107"/>
      <c r="I793" s="107"/>
      <c r="J793" s="107"/>
      <c r="K793" s="107"/>
    </row>
    <row r="794" spans="1:11">
      <c r="A794" s="106"/>
      <c r="B794" s="107"/>
      <c r="C794" s="107"/>
      <c r="D794" s="107"/>
      <c r="E794" s="108"/>
      <c r="F794" s="107"/>
      <c r="G794" s="107"/>
      <c r="H794" s="107"/>
      <c r="I794" s="107"/>
      <c r="J794" s="107"/>
      <c r="K794" s="107"/>
    </row>
    <row r="795" spans="1:11">
      <c r="A795" s="106"/>
      <c r="B795" s="107"/>
      <c r="C795" s="107"/>
      <c r="D795" s="107"/>
      <c r="E795" s="108"/>
      <c r="F795" s="107"/>
      <c r="G795" s="107"/>
      <c r="H795" s="107"/>
      <c r="I795" s="107"/>
      <c r="J795" s="107"/>
      <c r="K795" s="107"/>
    </row>
    <row r="796" spans="1:11">
      <c r="A796" s="106"/>
      <c r="B796" s="107"/>
      <c r="C796" s="107"/>
      <c r="D796" s="107"/>
      <c r="E796" s="108"/>
      <c r="F796" s="107"/>
      <c r="G796" s="107"/>
      <c r="H796" s="107"/>
      <c r="I796" s="107"/>
      <c r="J796" s="107"/>
      <c r="K796" s="107"/>
    </row>
    <row r="797" spans="1:11">
      <c r="A797" s="106"/>
      <c r="B797" s="107"/>
      <c r="C797" s="107"/>
      <c r="D797" s="107"/>
      <c r="E797" s="108"/>
      <c r="F797" s="107"/>
      <c r="G797" s="107"/>
      <c r="H797" s="107"/>
      <c r="I797" s="107"/>
      <c r="J797" s="107"/>
      <c r="K797" s="107"/>
    </row>
    <row r="798" spans="1:11">
      <c r="A798" s="106"/>
      <c r="B798" s="107"/>
      <c r="C798" s="107"/>
      <c r="D798" s="107"/>
      <c r="E798" s="108"/>
      <c r="F798" s="107"/>
      <c r="G798" s="107"/>
      <c r="H798" s="107"/>
      <c r="I798" s="107"/>
      <c r="J798" s="107"/>
      <c r="K798" s="107"/>
    </row>
    <row r="799" spans="1:11">
      <c r="A799" s="106"/>
      <c r="B799" s="107"/>
      <c r="C799" s="107"/>
      <c r="D799" s="107"/>
      <c r="E799" s="108"/>
      <c r="F799" s="107"/>
      <c r="G799" s="107"/>
      <c r="H799" s="107"/>
      <c r="I799" s="107"/>
      <c r="J799" s="107"/>
      <c r="K799" s="107"/>
    </row>
    <row r="800" spans="1:11">
      <c r="A800" s="106"/>
      <c r="B800" s="107"/>
      <c r="C800" s="107"/>
      <c r="D800" s="107"/>
      <c r="E800" s="108"/>
      <c r="F800" s="107"/>
      <c r="G800" s="107"/>
      <c r="H800" s="107"/>
      <c r="I800" s="107"/>
      <c r="J800" s="107"/>
      <c r="K800" s="107"/>
    </row>
    <row r="801" spans="1:11">
      <c r="A801" s="106"/>
      <c r="B801" s="107"/>
      <c r="C801" s="107"/>
      <c r="D801" s="107"/>
      <c r="E801" s="108"/>
      <c r="F801" s="107"/>
      <c r="G801" s="107"/>
      <c r="H801" s="107"/>
      <c r="I801" s="107"/>
      <c r="J801" s="107"/>
      <c r="K801" s="107"/>
    </row>
    <row r="802" spans="1:11">
      <c r="A802" s="106"/>
      <c r="B802" s="107"/>
      <c r="C802" s="107"/>
      <c r="D802" s="107"/>
      <c r="E802" s="108"/>
      <c r="F802" s="107"/>
      <c r="G802" s="107"/>
      <c r="H802" s="107"/>
      <c r="I802" s="107"/>
      <c r="J802" s="107"/>
      <c r="K802" s="107"/>
    </row>
    <row r="803" spans="1:11">
      <c r="A803" s="106"/>
      <c r="B803" s="107"/>
      <c r="C803" s="107"/>
      <c r="D803" s="107"/>
      <c r="E803" s="108"/>
      <c r="F803" s="107"/>
      <c r="G803" s="107"/>
      <c r="H803" s="107"/>
      <c r="I803" s="107"/>
      <c r="J803" s="107"/>
      <c r="K803" s="107"/>
    </row>
    <row r="804" spans="1:11">
      <c r="A804" s="106"/>
      <c r="B804" s="107"/>
      <c r="C804" s="107"/>
      <c r="D804" s="107"/>
      <c r="E804" s="108"/>
      <c r="F804" s="107"/>
      <c r="G804" s="107"/>
      <c r="H804" s="107"/>
      <c r="I804" s="107"/>
      <c r="J804" s="107"/>
      <c r="K804" s="107"/>
    </row>
    <row r="805" spans="1:11">
      <c r="A805" s="106"/>
      <c r="B805" s="107"/>
      <c r="C805" s="107"/>
      <c r="D805" s="107"/>
      <c r="E805" s="108"/>
      <c r="F805" s="107"/>
      <c r="G805" s="107"/>
      <c r="H805" s="107"/>
      <c r="I805" s="107"/>
      <c r="J805" s="107"/>
      <c r="K805" s="107"/>
    </row>
    <row r="806" spans="1:11">
      <c r="A806" s="106"/>
      <c r="B806" s="107"/>
      <c r="C806" s="107"/>
      <c r="D806" s="107"/>
      <c r="E806" s="108"/>
      <c r="F806" s="107"/>
      <c r="G806" s="107"/>
      <c r="H806" s="107"/>
      <c r="I806" s="107"/>
      <c r="J806" s="107"/>
      <c r="K806" s="107"/>
    </row>
    <row r="807" spans="1:11">
      <c r="A807" s="106"/>
      <c r="B807" s="107"/>
      <c r="C807" s="107"/>
      <c r="D807" s="107"/>
      <c r="E807" s="108"/>
      <c r="F807" s="107"/>
      <c r="G807" s="107"/>
      <c r="H807" s="107"/>
      <c r="I807" s="107"/>
      <c r="J807" s="107"/>
      <c r="K807" s="107"/>
    </row>
    <row r="808" spans="1:11">
      <c r="A808" s="106"/>
      <c r="B808" s="107"/>
      <c r="C808" s="107"/>
      <c r="D808" s="107"/>
      <c r="E808" s="108"/>
      <c r="F808" s="107"/>
      <c r="G808" s="107"/>
      <c r="H808" s="107"/>
      <c r="I808" s="107"/>
      <c r="J808" s="107"/>
      <c r="K808" s="107"/>
    </row>
    <row r="809" spans="1:11">
      <c r="A809" s="106"/>
      <c r="B809" s="107"/>
      <c r="C809" s="107"/>
      <c r="D809" s="107"/>
      <c r="E809" s="108"/>
      <c r="F809" s="107"/>
      <c r="G809" s="107"/>
      <c r="H809" s="107"/>
      <c r="I809" s="107"/>
      <c r="J809" s="107"/>
      <c r="K809" s="107"/>
    </row>
    <row r="810" spans="1:11">
      <c r="A810" s="106"/>
      <c r="B810" s="107"/>
      <c r="C810" s="107"/>
      <c r="D810" s="107"/>
      <c r="E810" s="108"/>
      <c r="F810" s="107"/>
      <c r="G810" s="107"/>
      <c r="H810" s="107"/>
      <c r="I810" s="107"/>
      <c r="J810" s="107"/>
      <c r="K810" s="107"/>
    </row>
    <row r="811" spans="1:11">
      <c r="A811" s="106"/>
      <c r="B811" s="107"/>
      <c r="C811" s="107"/>
      <c r="D811" s="107"/>
      <c r="E811" s="108"/>
      <c r="F811" s="107"/>
      <c r="G811" s="107"/>
      <c r="H811" s="107"/>
      <c r="I811" s="107"/>
      <c r="J811" s="107"/>
      <c r="K811" s="107"/>
    </row>
    <row r="812" spans="1:11">
      <c r="A812" s="106"/>
      <c r="B812" s="107"/>
      <c r="C812" s="107"/>
      <c r="D812" s="107"/>
      <c r="E812" s="108"/>
      <c r="F812" s="107"/>
      <c r="G812" s="107"/>
      <c r="H812" s="107"/>
      <c r="I812" s="107"/>
      <c r="J812" s="107"/>
      <c r="K812" s="107"/>
    </row>
    <row r="813" spans="1:11">
      <c r="A813" s="106"/>
      <c r="B813" s="107"/>
      <c r="C813" s="107"/>
      <c r="D813" s="107"/>
      <c r="E813" s="108"/>
      <c r="F813" s="107"/>
      <c r="G813" s="107"/>
      <c r="H813" s="107"/>
      <c r="I813" s="107"/>
      <c r="J813" s="107"/>
      <c r="K813" s="107"/>
    </row>
    <row r="814" spans="1:11">
      <c r="A814" s="106"/>
      <c r="B814" s="107"/>
      <c r="C814" s="107"/>
      <c r="D814" s="107"/>
      <c r="E814" s="108"/>
      <c r="F814" s="107"/>
      <c r="G814" s="107"/>
      <c r="H814" s="107"/>
      <c r="I814" s="107"/>
      <c r="J814" s="107"/>
      <c r="K814" s="107"/>
    </row>
    <row r="815" spans="1:11">
      <c r="A815" s="106"/>
      <c r="B815" s="107"/>
      <c r="C815" s="107"/>
      <c r="D815" s="107"/>
      <c r="E815" s="108"/>
      <c r="F815" s="107"/>
      <c r="G815" s="107"/>
      <c r="H815" s="107"/>
      <c r="I815" s="107"/>
      <c r="J815" s="107"/>
      <c r="K815" s="107"/>
    </row>
    <row r="816" spans="1:11">
      <c r="A816" s="106"/>
      <c r="B816" s="107"/>
      <c r="C816" s="107"/>
      <c r="D816" s="107"/>
      <c r="E816" s="108"/>
      <c r="F816" s="107"/>
      <c r="G816" s="107"/>
      <c r="H816" s="107"/>
      <c r="I816" s="107"/>
      <c r="J816" s="107"/>
      <c r="K816" s="107"/>
    </row>
    <row r="817" spans="1:11">
      <c r="A817" s="106"/>
      <c r="B817" s="107"/>
      <c r="C817" s="107"/>
      <c r="D817" s="107"/>
      <c r="E817" s="108"/>
      <c r="F817" s="107"/>
      <c r="G817" s="107"/>
      <c r="H817" s="107"/>
      <c r="I817" s="107"/>
      <c r="J817" s="107"/>
      <c r="K817" s="107"/>
    </row>
    <row r="818" spans="1:11">
      <c r="A818" s="106"/>
      <c r="B818" s="107"/>
      <c r="C818" s="107"/>
      <c r="D818" s="107"/>
      <c r="E818" s="108"/>
      <c r="F818" s="107"/>
      <c r="G818" s="107"/>
      <c r="H818" s="107"/>
      <c r="I818" s="107"/>
      <c r="J818" s="107"/>
      <c r="K818" s="107"/>
    </row>
    <row r="819" spans="1:11">
      <c r="A819" s="106"/>
      <c r="B819" s="107"/>
      <c r="C819" s="107"/>
      <c r="D819" s="107"/>
      <c r="E819" s="108"/>
      <c r="F819" s="107"/>
      <c r="G819" s="107"/>
      <c r="H819" s="107"/>
      <c r="I819" s="107"/>
      <c r="J819" s="107"/>
      <c r="K819" s="107"/>
    </row>
    <row r="820" spans="1:11">
      <c r="A820" s="106"/>
      <c r="B820" s="107"/>
      <c r="C820" s="107"/>
      <c r="D820" s="107"/>
      <c r="E820" s="108"/>
      <c r="F820" s="107"/>
      <c r="G820" s="107"/>
      <c r="H820" s="107"/>
      <c r="I820" s="107"/>
      <c r="J820" s="107"/>
      <c r="K820" s="107"/>
    </row>
    <row r="821" spans="1:11">
      <c r="A821" s="106"/>
      <c r="B821" s="107"/>
      <c r="C821" s="107"/>
      <c r="D821" s="107"/>
      <c r="E821" s="108"/>
      <c r="F821" s="107"/>
      <c r="G821" s="107"/>
      <c r="H821" s="107"/>
      <c r="I821" s="107"/>
      <c r="J821" s="107"/>
      <c r="K821" s="107"/>
    </row>
    <row r="822" spans="1:11">
      <c r="A822" s="106"/>
      <c r="B822" s="107"/>
      <c r="C822" s="107"/>
      <c r="D822" s="107"/>
      <c r="E822" s="108"/>
      <c r="F822" s="107"/>
      <c r="G822" s="107"/>
      <c r="H822" s="107"/>
      <c r="I822" s="107"/>
      <c r="J822" s="107"/>
      <c r="K822" s="107"/>
    </row>
    <row r="823" spans="1:11">
      <c r="A823" s="106"/>
      <c r="B823" s="107"/>
      <c r="C823" s="107"/>
      <c r="D823" s="107"/>
      <c r="E823" s="108"/>
      <c r="F823" s="107"/>
      <c r="G823" s="107"/>
      <c r="H823" s="107"/>
      <c r="I823" s="107"/>
      <c r="J823" s="107"/>
      <c r="K823" s="107"/>
    </row>
    <row r="824" spans="1:11">
      <c r="A824" s="106"/>
      <c r="B824" s="107"/>
      <c r="C824" s="107"/>
      <c r="D824" s="107"/>
      <c r="E824" s="108"/>
      <c r="F824" s="107"/>
      <c r="G824" s="107"/>
      <c r="H824" s="107"/>
      <c r="I824" s="107"/>
      <c r="J824" s="107"/>
      <c r="K824" s="107"/>
    </row>
    <row r="825" spans="1:11">
      <c r="A825" s="106"/>
      <c r="B825" s="107"/>
      <c r="C825" s="107"/>
      <c r="D825" s="107"/>
      <c r="E825" s="108"/>
      <c r="F825" s="107"/>
      <c r="G825" s="107"/>
      <c r="H825" s="107"/>
      <c r="I825" s="107"/>
      <c r="J825" s="107"/>
      <c r="K825" s="107"/>
    </row>
    <row r="826" spans="1:11">
      <c r="A826" s="106"/>
      <c r="B826" s="107"/>
      <c r="C826" s="107"/>
      <c r="D826" s="107"/>
      <c r="E826" s="108"/>
      <c r="F826" s="107"/>
      <c r="G826" s="107"/>
      <c r="H826" s="107"/>
      <c r="I826" s="107"/>
      <c r="J826" s="107"/>
      <c r="K826" s="107"/>
    </row>
    <row r="827" spans="1:11">
      <c r="A827" s="106"/>
      <c r="B827" s="107"/>
      <c r="C827" s="107"/>
      <c r="D827" s="107"/>
      <c r="E827" s="108"/>
      <c r="F827" s="107"/>
      <c r="G827" s="107"/>
      <c r="H827" s="107"/>
      <c r="I827" s="107"/>
      <c r="J827" s="107"/>
      <c r="K827" s="107"/>
    </row>
    <row r="828" spans="1:11">
      <c r="A828" s="106"/>
      <c r="B828" s="107"/>
      <c r="C828" s="107"/>
      <c r="D828" s="107"/>
      <c r="E828" s="108"/>
      <c r="F828" s="107"/>
      <c r="G828" s="107"/>
      <c r="H828" s="107"/>
      <c r="I828" s="107"/>
      <c r="J828" s="107"/>
      <c r="K828" s="107"/>
    </row>
    <row r="829" spans="1:11">
      <c r="A829" s="106"/>
      <c r="B829" s="107"/>
      <c r="C829" s="107"/>
      <c r="D829" s="107"/>
      <c r="E829" s="108"/>
      <c r="F829" s="107"/>
      <c r="G829" s="107"/>
      <c r="H829" s="107"/>
      <c r="I829" s="107"/>
      <c r="J829" s="107"/>
      <c r="K829" s="107"/>
    </row>
    <row r="830" spans="1:11">
      <c r="A830" s="106"/>
      <c r="B830" s="107"/>
      <c r="C830" s="107"/>
      <c r="D830" s="107"/>
      <c r="E830" s="108"/>
      <c r="F830" s="107"/>
      <c r="G830" s="107"/>
      <c r="H830" s="107"/>
      <c r="I830" s="107"/>
      <c r="J830" s="107"/>
      <c r="K830" s="107"/>
    </row>
    <row r="831" spans="1:11">
      <c r="A831" s="106"/>
      <c r="B831" s="107"/>
      <c r="C831" s="107"/>
      <c r="D831" s="107"/>
      <c r="E831" s="108"/>
      <c r="F831" s="107"/>
      <c r="G831" s="107"/>
      <c r="H831" s="107"/>
      <c r="I831" s="107"/>
      <c r="J831" s="107"/>
      <c r="K831" s="107"/>
    </row>
    <row r="832" spans="1:11">
      <c r="A832" s="106"/>
      <c r="B832" s="107"/>
      <c r="C832" s="107"/>
      <c r="D832" s="107"/>
      <c r="E832" s="108"/>
      <c r="F832" s="107"/>
      <c r="G832" s="107"/>
      <c r="H832" s="107"/>
      <c r="I832" s="107"/>
      <c r="J832" s="107"/>
      <c r="K832" s="107"/>
    </row>
    <row r="833" spans="1:11">
      <c r="A833" s="106"/>
      <c r="B833" s="107"/>
      <c r="C833" s="107"/>
      <c r="D833" s="107"/>
      <c r="E833" s="108"/>
      <c r="F833" s="107"/>
      <c r="G833" s="107"/>
      <c r="H833" s="107"/>
      <c r="I833" s="107"/>
      <c r="J833" s="107"/>
      <c r="K833" s="107"/>
    </row>
    <row r="834" spans="1:11">
      <c r="A834" s="106"/>
      <c r="B834" s="107"/>
      <c r="C834" s="107"/>
      <c r="D834" s="107"/>
      <c r="E834" s="108"/>
      <c r="F834" s="107"/>
      <c r="G834" s="107"/>
      <c r="H834" s="107"/>
      <c r="I834" s="107"/>
      <c r="J834" s="107"/>
      <c r="K834" s="107"/>
    </row>
    <row r="835" spans="1:11">
      <c r="A835" s="106"/>
      <c r="B835" s="107"/>
      <c r="C835" s="107"/>
      <c r="D835" s="107"/>
      <c r="E835" s="108"/>
      <c r="F835" s="107"/>
      <c r="G835" s="107"/>
      <c r="H835" s="107"/>
      <c r="I835" s="107"/>
      <c r="J835" s="107"/>
      <c r="K835" s="107"/>
    </row>
    <row r="836" spans="1:11">
      <c r="A836" s="106"/>
      <c r="B836" s="107"/>
      <c r="C836" s="107"/>
      <c r="D836" s="107"/>
      <c r="E836" s="108"/>
      <c r="F836" s="107"/>
      <c r="G836" s="107"/>
      <c r="H836" s="107"/>
      <c r="I836" s="107"/>
      <c r="J836" s="107"/>
      <c r="K836" s="107"/>
    </row>
    <row r="837" spans="1:11">
      <c r="A837" s="106"/>
      <c r="B837" s="107"/>
      <c r="C837" s="107"/>
      <c r="D837" s="107"/>
      <c r="E837" s="108"/>
      <c r="F837" s="107"/>
      <c r="G837" s="107"/>
      <c r="H837" s="107"/>
      <c r="I837" s="107"/>
      <c r="J837" s="107"/>
      <c r="K837" s="107"/>
    </row>
    <row r="838" spans="1:11">
      <c r="A838" s="106"/>
      <c r="B838" s="107"/>
      <c r="C838" s="107"/>
      <c r="D838" s="107"/>
      <c r="E838" s="108"/>
      <c r="F838" s="107"/>
      <c r="G838" s="107"/>
      <c r="H838" s="107"/>
      <c r="I838" s="107"/>
      <c r="J838" s="107"/>
      <c r="K838" s="107"/>
    </row>
    <row r="839" spans="1:11">
      <c r="A839" s="106"/>
      <c r="B839" s="107"/>
      <c r="C839" s="107"/>
      <c r="D839" s="107"/>
      <c r="E839" s="108"/>
      <c r="F839" s="107"/>
      <c r="G839" s="107"/>
      <c r="H839" s="107"/>
      <c r="I839" s="107"/>
      <c r="J839" s="107"/>
      <c r="K839" s="107"/>
    </row>
    <row r="840" spans="1:11">
      <c r="A840" s="106"/>
      <c r="B840" s="107"/>
      <c r="C840" s="107"/>
      <c r="D840" s="107"/>
      <c r="E840" s="108"/>
      <c r="F840" s="107"/>
      <c r="G840" s="107"/>
      <c r="H840" s="107"/>
      <c r="I840" s="107"/>
      <c r="J840" s="107"/>
      <c r="K840" s="107"/>
    </row>
    <row r="841" spans="1:11">
      <c r="A841" s="106"/>
      <c r="B841" s="107"/>
      <c r="C841" s="107"/>
      <c r="D841" s="107"/>
      <c r="E841" s="108"/>
      <c r="F841" s="107"/>
      <c r="G841" s="107"/>
      <c r="H841" s="107"/>
      <c r="I841" s="107"/>
      <c r="J841" s="107"/>
      <c r="K841" s="107"/>
    </row>
    <row r="842" spans="1:11">
      <c r="A842" s="106"/>
      <c r="B842" s="107"/>
      <c r="C842" s="107"/>
      <c r="D842" s="107"/>
      <c r="E842" s="108"/>
      <c r="F842" s="107"/>
      <c r="G842" s="107"/>
      <c r="H842" s="107"/>
      <c r="I842" s="107"/>
      <c r="J842" s="107"/>
      <c r="K842" s="107"/>
    </row>
    <row r="843" spans="1:11">
      <c r="A843" s="106"/>
      <c r="B843" s="107"/>
      <c r="C843" s="107"/>
      <c r="D843" s="107"/>
      <c r="E843" s="108"/>
      <c r="F843" s="107"/>
      <c r="G843" s="107"/>
      <c r="H843" s="107"/>
      <c r="I843" s="107"/>
      <c r="J843" s="107"/>
      <c r="K843" s="107"/>
    </row>
    <row r="844" spans="1:11">
      <c r="A844" s="106"/>
      <c r="B844" s="107"/>
      <c r="C844" s="107"/>
      <c r="D844" s="107"/>
      <c r="E844" s="108"/>
      <c r="F844" s="107"/>
      <c r="G844" s="107"/>
      <c r="H844" s="107"/>
      <c r="I844" s="107"/>
      <c r="J844" s="107"/>
      <c r="K844" s="107"/>
    </row>
    <row r="845" spans="1:11">
      <c r="A845" s="106"/>
      <c r="B845" s="107"/>
      <c r="C845" s="107"/>
      <c r="D845" s="107"/>
      <c r="E845" s="108"/>
      <c r="F845" s="107"/>
      <c r="G845" s="107"/>
      <c r="H845" s="107"/>
      <c r="I845" s="107"/>
      <c r="J845" s="107"/>
      <c r="K845" s="107"/>
    </row>
    <row r="846" spans="1:11">
      <c r="A846" s="106"/>
      <c r="B846" s="107"/>
      <c r="C846" s="107"/>
      <c r="D846" s="107"/>
      <c r="E846" s="108"/>
      <c r="F846" s="107"/>
      <c r="G846" s="107"/>
      <c r="H846" s="107"/>
      <c r="I846" s="107"/>
      <c r="J846" s="107"/>
      <c r="K846" s="107"/>
    </row>
    <row r="847" spans="1:11">
      <c r="A847" s="106"/>
      <c r="B847" s="107"/>
      <c r="C847" s="107"/>
      <c r="D847" s="107"/>
      <c r="E847" s="108"/>
      <c r="F847" s="107"/>
      <c r="G847" s="107"/>
      <c r="H847" s="107"/>
      <c r="I847" s="107"/>
      <c r="J847" s="107"/>
      <c r="K847" s="107"/>
    </row>
    <row r="848" spans="1:11">
      <c r="A848" s="106"/>
      <c r="B848" s="107"/>
      <c r="C848" s="107"/>
      <c r="D848" s="107"/>
      <c r="E848" s="108"/>
      <c r="F848" s="107"/>
      <c r="G848" s="107"/>
      <c r="H848" s="107"/>
      <c r="I848" s="107"/>
      <c r="J848" s="107"/>
      <c r="K848" s="107"/>
    </row>
    <row r="849" spans="1:11">
      <c r="A849" s="106"/>
      <c r="B849" s="107"/>
      <c r="C849" s="107"/>
      <c r="D849" s="107"/>
      <c r="E849" s="108"/>
      <c r="F849" s="107"/>
      <c r="G849" s="107"/>
      <c r="H849" s="107"/>
      <c r="I849" s="107"/>
      <c r="J849" s="107"/>
      <c r="K849" s="107"/>
    </row>
    <row r="850" spans="1:11">
      <c r="A850" s="106"/>
      <c r="B850" s="107"/>
      <c r="C850" s="107"/>
      <c r="D850" s="107"/>
      <c r="E850" s="108"/>
      <c r="F850" s="107"/>
      <c r="G850" s="107"/>
      <c r="H850" s="107"/>
      <c r="I850" s="107"/>
      <c r="J850" s="107"/>
      <c r="K850" s="107"/>
    </row>
    <row r="851" spans="1:11">
      <c r="A851" s="106"/>
      <c r="B851" s="107"/>
      <c r="C851" s="107"/>
      <c r="D851" s="107"/>
      <c r="E851" s="108"/>
      <c r="F851" s="107"/>
      <c r="G851" s="107"/>
      <c r="H851" s="107"/>
      <c r="I851" s="107"/>
      <c r="J851" s="107"/>
      <c r="K851" s="107"/>
    </row>
    <row r="852" spans="1:11">
      <c r="A852" s="106"/>
      <c r="B852" s="107"/>
      <c r="C852" s="107"/>
      <c r="D852" s="107"/>
      <c r="E852" s="108"/>
      <c r="F852" s="107"/>
      <c r="G852" s="107"/>
      <c r="H852" s="107"/>
      <c r="I852" s="107"/>
      <c r="J852" s="107"/>
      <c r="K852" s="107"/>
    </row>
    <row r="853" spans="1:11">
      <c r="A853" s="106"/>
      <c r="B853" s="107"/>
      <c r="C853" s="107"/>
      <c r="D853" s="107"/>
      <c r="E853" s="108"/>
      <c r="F853" s="107"/>
      <c r="G853" s="107"/>
      <c r="H853" s="107"/>
      <c r="I853" s="107"/>
      <c r="J853" s="107"/>
      <c r="K853" s="107"/>
    </row>
    <row r="854" spans="1:11">
      <c r="A854" s="106"/>
      <c r="B854" s="107"/>
      <c r="C854" s="107"/>
      <c r="D854" s="107"/>
      <c r="E854" s="108"/>
      <c r="F854" s="107"/>
      <c r="G854" s="107"/>
      <c r="H854" s="107"/>
      <c r="I854" s="107"/>
      <c r="J854" s="107"/>
      <c r="K854" s="107"/>
    </row>
    <row r="855" spans="1:11">
      <c r="A855" s="106"/>
      <c r="B855" s="107"/>
      <c r="C855" s="107"/>
      <c r="D855" s="107"/>
      <c r="E855" s="108"/>
      <c r="F855" s="107"/>
      <c r="G855" s="107"/>
      <c r="H855" s="107"/>
      <c r="I855" s="107"/>
      <c r="J855" s="107"/>
      <c r="K855" s="107"/>
    </row>
    <row r="856" spans="1:11">
      <c r="A856" s="106"/>
      <c r="B856" s="107"/>
      <c r="C856" s="107"/>
      <c r="D856" s="107"/>
      <c r="E856" s="108"/>
      <c r="F856" s="107"/>
      <c r="G856" s="107"/>
      <c r="H856" s="107"/>
      <c r="I856" s="107"/>
      <c r="J856" s="107"/>
      <c r="K856" s="107"/>
    </row>
    <row r="857" spans="1:11">
      <c r="A857" s="106"/>
      <c r="B857" s="107"/>
      <c r="C857" s="107"/>
      <c r="D857" s="107"/>
      <c r="E857" s="108"/>
      <c r="F857" s="107"/>
      <c r="G857" s="107"/>
      <c r="H857" s="107"/>
      <c r="I857" s="107"/>
      <c r="J857" s="107"/>
      <c r="K857" s="107"/>
    </row>
    <row r="858" spans="1:11">
      <c r="A858" s="106"/>
      <c r="B858" s="107"/>
      <c r="C858" s="107"/>
      <c r="D858" s="107"/>
      <c r="E858" s="108"/>
      <c r="F858" s="107"/>
      <c r="G858" s="107"/>
      <c r="H858" s="107"/>
      <c r="I858" s="107"/>
      <c r="J858" s="107"/>
      <c r="K858" s="107"/>
    </row>
    <row r="859" spans="1:11">
      <c r="A859" s="106"/>
      <c r="B859" s="107"/>
      <c r="C859" s="107"/>
      <c r="D859" s="107"/>
      <c r="E859" s="108"/>
      <c r="F859" s="107"/>
      <c r="G859" s="107"/>
      <c r="H859" s="107"/>
      <c r="I859" s="107"/>
      <c r="J859" s="107"/>
      <c r="K859" s="107"/>
    </row>
    <row r="860" spans="1:11">
      <c r="A860" s="106"/>
      <c r="B860" s="107"/>
      <c r="C860" s="107"/>
      <c r="D860" s="107"/>
      <c r="E860" s="108"/>
      <c r="F860" s="107"/>
      <c r="G860" s="107"/>
      <c r="H860" s="107"/>
      <c r="I860" s="107"/>
      <c r="J860" s="107"/>
      <c r="K860" s="107"/>
    </row>
    <row r="861" spans="1:11">
      <c r="A861" s="106"/>
      <c r="B861" s="107"/>
      <c r="C861" s="107"/>
      <c r="D861" s="107"/>
      <c r="E861" s="108"/>
      <c r="F861" s="107"/>
      <c r="G861" s="107"/>
      <c r="H861" s="107"/>
      <c r="I861" s="107"/>
      <c r="J861" s="107"/>
      <c r="K861" s="107"/>
    </row>
    <row r="862" spans="1:11">
      <c r="A862" s="106"/>
      <c r="B862" s="107"/>
      <c r="C862" s="107"/>
      <c r="D862" s="107"/>
      <c r="E862" s="108"/>
      <c r="F862" s="107"/>
      <c r="G862" s="107"/>
      <c r="H862" s="107"/>
      <c r="I862" s="107"/>
      <c r="J862" s="107"/>
      <c r="K862" s="107"/>
    </row>
    <row r="863" spans="1:11">
      <c r="A863" s="106"/>
      <c r="B863" s="107"/>
      <c r="C863" s="107"/>
      <c r="D863" s="107"/>
      <c r="E863" s="108"/>
      <c r="F863" s="107"/>
      <c r="G863" s="107"/>
      <c r="H863" s="107"/>
      <c r="I863" s="107"/>
      <c r="J863" s="107"/>
      <c r="K863" s="107"/>
    </row>
    <row r="864" spans="1:11">
      <c r="A864" s="106"/>
      <c r="B864" s="107"/>
      <c r="C864" s="107"/>
      <c r="D864" s="107"/>
      <c r="E864" s="108"/>
      <c r="F864" s="107"/>
      <c r="G864" s="107"/>
      <c r="H864" s="107"/>
      <c r="I864" s="107"/>
      <c r="J864" s="107"/>
      <c r="K864" s="107"/>
    </row>
    <row r="865" spans="1:11">
      <c r="A865" s="106"/>
      <c r="B865" s="107"/>
      <c r="C865" s="107"/>
      <c r="D865" s="107"/>
      <c r="E865" s="108"/>
      <c r="F865" s="107"/>
      <c r="G865" s="107"/>
      <c r="H865" s="107"/>
      <c r="I865" s="107"/>
      <c r="J865" s="107"/>
      <c r="K865" s="107"/>
    </row>
    <row r="866" spans="1:11">
      <c r="A866" s="106"/>
      <c r="B866" s="107"/>
      <c r="C866" s="107"/>
      <c r="D866" s="107"/>
      <c r="E866" s="108"/>
      <c r="F866" s="107"/>
      <c r="G866" s="107"/>
      <c r="H866" s="107"/>
      <c r="I866" s="107"/>
      <c r="J866" s="107"/>
      <c r="K866" s="107"/>
    </row>
    <row r="867" spans="1:11">
      <c r="A867" s="106"/>
      <c r="B867" s="107"/>
      <c r="C867" s="107"/>
      <c r="D867" s="107"/>
      <c r="E867" s="108"/>
      <c r="F867" s="107"/>
      <c r="G867" s="107"/>
      <c r="H867" s="107"/>
      <c r="I867" s="107"/>
      <c r="J867" s="107"/>
      <c r="K867" s="107"/>
    </row>
    <row r="868" spans="1:11">
      <c r="A868" s="106"/>
      <c r="B868" s="107"/>
      <c r="C868" s="107"/>
      <c r="D868" s="107"/>
      <c r="E868" s="108"/>
      <c r="F868" s="107"/>
      <c r="G868" s="107"/>
      <c r="H868" s="107"/>
      <c r="I868" s="107"/>
      <c r="J868" s="107"/>
      <c r="K868" s="107"/>
    </row>
    <row r="869" spans="1:11">
      <c r="A869" s="106"/>
      <c r="B869" s="107"/>
      <c r="C869" s="107"/>
      <c r="D869" s="107"/>
      <c r="E869" s="108"/>
      <c r="F869" s="107"/>
      <c r="G869" s="107"/>
      <c r="H869" s="107"/>
      <c r="I869" s="107"/>
      <c r="J869" s="107"/>
      <c r="K869" s="107"/>
    </row>
    <row r="870" spans="1:11">
      <c r="A870" s="106"/>
      <c r="B870" s="107"/>
      <c r="C870" s="107"/>
      <c r="D870" s="107"/>
      <c r="E870" s="108"/>
      <c r="F870" s="107"/>
      <c r="G870" s="107"/>
      <c r="H870" s="107"/>
      <c r="I870" s="107"/>
      <c r="J870" s="107"/>
      <c r="K870" s="107"/>
    </row>
    <row r="871" spans="1:11">
      <c r="A871" s="106"/>
      <c r="B871" s="107"/>
      <c r="C871" s="107"/>
      <c r="D871" s="107"/>
      <c r="E871" s="108"/>
      <c r="F871" s="107"/>
      <c r="G871" s="107"/>
      <c r="H871" s="107"/>
      <c r="I871" s="107"/>
      <c r="J871" s="107"/>
      <c r="K871" s="107"/>
    </row>
  </sheetData>
  <mergeCells count="12">
    <mergeCell ref="AZ4:BA4"/>
    <mergeCell ref="N79:O79"/>
    <mergeCell ref="A3:B3"/>
    <mergeCell ref="AM4:AP4"/>
    <mergeCell ref="C85:F85"/>
    <mergeCell ref="A1:B1"/>
    <mergeCell ref="A2:B2"/>
    <mergeCell ref="AI4:AL4"/>
    <mergeCell ref="D4:E4"/>
    <mergeCell ref="F4:G4"/>
    <mergeCell ref="H4:I4"/>
    <mergeCell ref="J4:K4"/>
  </mergeCells>
  <phoneticPr fontId="0" type="noConversion"/>
  <printOptions horizontalCentered="1"/>
  <pageMargins left="0.25" right="0.25" top="0.98" bottom="0.42" header="0.27" footer="0.16"/>
  <pageSetup paperSize="5" scale="66" firstPageNumber="18" fitToWidth="14" orientation="portrait" useFirstPageNumber="1" r:id="rId1"/>
  <headerFooter alignWithMargins="0">
    <oddHeader xml:space="preserve">&amp;L&amp;"Arial,Bold"&amp;16TABLE 3: FY2013-14 Budget Letter &amp;20
&amp;16LEVEL 1 BASE PER PUPIL AND LEVEL 2 LOCAL INCENTIVE </oddHeader>
    <oddFooter>&amp;R&amp;12&amp;P</oddFooter>
  </headerFooter>
  <colBreaks count="10" manualBreakCount="10">
    <brk id="7" max="82" man="1"/>
    <brk id="11" max="82" man="1"/>
    <brk id="17" max="82" man="1"/>
    <brk id="24" max="82" man="1"/>
    <brk id="31" max="82" man="1"/>
    <brk id="38" max="82" man="1"/>
    <brk id="44" max="82" man="1"/>
    <brk id="51" max="82" man="1"/>
    <brk id="53" max="89" man="1"/>
    <brk id="63" max="8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X85"/>
  <sheetViews>
    <sheetView view="pageBreakPreview" topLeftCell="A2" zoomScale="90" zoomScaleNormal="100" zoomScaleSheetLayoutView="90" workbookViewId="0">
      <pane xSplit="2" ySplit="4" topLeftCell="L63" activePane="bottomRight" state="frozen"/>
      <selection activeCell="B3" sqref="B3:B5"/>
      <selection pane="topRight" activeCell="B3" sqref="B3:B5"/>
      <selection pane="bottomLeft" activeCell="B3" sqref="B3:B5"/>
      <selection pane="bottomRight" activeCell="E82" sqref="E82"/>
    </sheetView>
  </sheetViews>
  <sheetFormatPr defaultColWidth="12.5703125" defaultRowHeight="12.75"/>
  <cols>
    <col min="1" max="1" width="4.28515625" style="2" customWidth="1"/>
    <col min="2" max="2" width="17.140625" style="2" customWidth="1"/>
    <col min="3" max="3" width="13.5703125" style="2" customWidth="1"/>
    <col min="4" max="4" width="13.42578125" style="2" customWidth="1"/>
    <col min="5" max="5" width="13.140625" style="2" customWidth="1"/>
    <col min="6" max="6" width="13.85546875" style="2" customWidth="1"/>
    <col min="7" max="7" width="13.7109375" style="2" customWidth="1"/>
    <col min="8" max="8" width="13.5703125" style="2" customWidth="1"/>
    <col min="9" max="9" width="10.7109375" style="2" customWidth="1"/>
    <col min="10" max="12" width="16.140625" style="2" customWidth="1"/>
    <col min="13" max="13" width="14" style="2" customWidth="1"/>
    <col min="14" max="14" width="13.7109375" style="2" customWidth="1"/>
    <col min="15" max="15" width="15.28515625" style="2" customWidth="1"/>
    <col min="16" max="16" width="26.42578125" style="2" customWidth="1"/>
    <col min="17" max="17" width="28.28515625" style="2" customWidth="1"/>
    <col min="18" max="18" width="21" style="2" customWidth="1"/>
    <col min="19" max="19" width="2" style="2" customWidth="1"/>
    <col min="20" max="21" width="12.5703125" style="2"/>
    <col min="22" max="22" width="16" style="2" bestFit="1" customWidth="1"/>
    <col min="23" max="16384" width="12.5703125" style="2"/>
  </cols>
  <sheetData>
    <row r="1" spans="1:23" ht="40.5" hidden="1">
      <c r="A1" s="80" t="s">
        <v>198</v>
      </c>
      <c r="B1" s="125"/>
      <c r="C1" s="124" t="s">
        <v>73</v>
      </c>
      <c r="D1" s="124" t="s">
        <v>66</v>
      </c>
      <c r="E1" s="124" t="s">
        <v>73</v>
      </c>
      <c r="F1" s="124" t="s">
        <v>67</v>
      </c>
      <c r="G1" s="124"/>
      <c r="H1" s="124"/>
      <c r="I1" s="124"/>
      <c r="J1" s="124"/>
      <c r="K1" s="1306"/>
      <c r="L1" s="1306"/>
      <c r="M1" s="124"/>
      <c r="N1" s="124"/>
      <c r="O1" s="469"/>
    </row>
    <row r="2" spans="1:23" ht="74.25" customHeight="1">
      <c r="A2" s="1625" t="s">
        <v>185</v>
      </c>
      <c r="B2" s="1627" t="s">
        <v>246</v>
      </c>
      <c r="C2" s="1634" t="s">
        <v>583</v>
      </c>
      <c r="D2" s="1635"/>
      <c r="E2" s="1635"/>
      <c r="F2" s="1635"/>
      <c r="G2" s="1635"/>
      <c r="H2" s="1635"/>
      <c r="I2" s="1635"/>
      <c r="J2" s="1636"/>
      <c r="K2" s="1634" t="s">
        <v>568</v>
      </c>
      <c r="L2" s="1639"/>
      <c r="M2" s="1645" t="s">
        <v>366</v>
      </c>
      <c r="N2" s="1646"/>
      <c r="O2" s="1633" t="s">
        <v>584</v>
      </c>
      <c r="P2" s="1637" t="s">
        <v>374</v>
      </c>
      <c r="Q2" s="1638"/>
      <c r="R2" s="1590" t="s">
        <v>585</v>
      </c>
    </row>
    <row r="3" spans="1:23" ht="97.5" customHeight="1">
      <c r="A3" s="1626"/>
      <c r="B3" s="1626"/>
      <c r="C3" s="1583" t="s">
        <v>1</v>
      </c>
      <c r="D3" s="1583" t="s">
        <v>0</v>
      </c>
      <c r="E3" s="1583" t="s">
        <v>225</v>
      </c>
      <c r="F3" s="1583" t="s">
        <v>570</v>
      </c>
      <c r="G3" s="1583" t="s">
        <v>567</v>
      </c>
      <c r="H3" s="1631" t="s">
        <v>569</v>
      </c>
      <c r="I3" s="1631" t="s">
        <v>593</v>
      </c>
      <c r="J3" s="67" t="s">
        <v>396</v>
      </c>
      <c r="K3" s="1640" t="s">
        <v>596</v>
      </c>
      <c r="L3" s="1304" t="s">
        <v>196</v>
      </c>
      <c r="M3" s="1583" t="s">
        <v>592</v>
      </c>
      <c r="N3" s="67" t="s">
        <v>362</v>
      </c>
      <c r="O3" s="1591"/>
      <c r="P3" s="1628" t="s">
        <v>535</v>
      </c>
      <c r="Q3" s="1583" t="s">
        <v>879</v>
      </c>
      <c r="R3" s="1591"/>
      <c r="U3" s="1621"/>
    </row>
    <row r="4" spans="1:23" ht="25.5" customHeight="1">
      <c r="A4" s="1626"/>
      <c r="B4" s="1626"/>
      <c r="C4" s="1585"/>
      <c r="D4" s="1585"/>
      <c r="E4" s="1585"/>
      <c r="F4" s="1585"/>
      <c r="G4" s="1585"/>
      <c r="H4" s="1632"/>
      <c r="I4" s="1632"/>
      <c r="J4" s="308">
        <f>-(F75+H75)/I75</f>
        <v>49.280887293761246</v>
      </c>
      <c r="K4" s="1641"/>
      <c r="L4" s="1243">
        <v>20000</v>
      </c>
      <c r="M4" s="1585"/>
      <c r="N4" s="307">
        <v>100</v>
      </c>
      <c r="O4" s="1582"/>
      <c r="P4" s="1629"/>
      <c r="Q4" s="1630"/>
      <c r="R4" s="1582"/>
      <c r="U4" s="1621"/>
    </row>
    <row r="5" spans="1:23" s="211" customFormat="1" ht="14.25" customHeight="1">
      <c r="A5" s="221"/>
      <c r="B5" s="301"/>
      <c r="C5" s="310">
        <v>1</v>
      </c>
      <c r="D5" s="310">
        <f t="shared" ref="D5:J5" si="0">C5+1</f>
        <v>2</v>
      </c>
      <c r="E5" s="310">
        <f t="shared" si="0"/>
        <v>3</v>
      </c>
      <c r="F5" s="310">
        <f t="shared" si="0"/>
        <v>4</v>
      </c>
      <c r="G5" s="310">
        <f t="shared" si="0"/>
        <v>5</v>
      </c>
      <c r="H5" s="310">
        <f t="shared" si="0"/>
        <v>6</v>
      </c>
      <c r="I5" s="310">
        <f t="shared" si="0"/>
        <v>7</v>
      </c>
      <c r="J5" s="310">
        <f t="shared" si="0"/>
        <v>8</v>
      </c>
      <c r="K5" s="310">
        <f t="shared" ref="K5" si="1">J5+1</f>
        <v>9</v>
      </c>
      <c r="L5" s="310">
        <f t="shared" ref="L5" si="2">K5+1</f>
        <v>10</v>
      </c>
      <c r="M5" s="310">
        <f t="shared" ref="M5" si="3">L5+1</f>
        <v>11</v>
      </c>
      <c r="N5" s="310">
        <f t="shared" ref="N5" si="4">M5+1</f>
        <v>12</v>
      </c>
      <c r="O5" s="310">
        <f t="shared" ref="O5" si="5">N5+1</f>
        <v>13</v>
      </c>
      <c r="P5" s="310">
        <f t="shared" ref="P5" si="6">O5+1</f>
        <v>14</v>
      </c>
      <c r="Q5" s="310">
        <f t="shared" ref="Q5" si="7">P5+1</f>
        <v>15</v>
      </c>
      <c r="R5" s="310">
        <f t="shared" ref="R5" si="8">Q5+1</f>
        <v>16</v>
      </c>
    </row>
    <row r="6" spans="1:23">
      <c r="A6" s="99">
        <v>1</v>
      </c>
      <c r="B6" s="302" t="s">
        <v>93</v>
      </c>
      <c r="C6" s="317">
        <v>0</v>
      </c>
      <c r="D6" s="317">
        <v>0</v>
      </c>
      <c r="E6" s="317">
        <f>C6-D6</f>
        <v>0</v>
      </c>
      <c r="F6" s="318">
        <f>'[7]Table 4 Level 3'!F6+'[7]Table 4 Level 3'!H6</f>
        <v>0</v>
      </c>
      <c r="G6" s="318">
        <f t="shared" ref="G6:G37" si="9">SUM(E6:F6)</f>
        <v>0</v>
      </c>
      <c r="H6" s="318">
        <f>ROUND(-G6/4,0)</f>
        <v>0</v>
      </c>
      <c r="I6" s="316">
        <f>IF(F6&lt;0,0,'Table 3 Levels 1&amp;2'!C8)</f>
        <v>9586</v>
      </c>
      <c r="J6" s="314">
        <f t="shared" ref="J6:J37" si="10">ROUND($J$4*I6,0)</f>
        <v>472407</v>
      </c>
      <c r="K6" s="351">
        <v>0</v>
      </c>
      <c r="L6" s="1244">
        <f>ROUND($L$4*K6,0)</f>
        <v>0</v>
      </c>
      <c r="M6" s="316">
        <f>'Table 3 Levels 1&amp;2'!C8</f>
        <v>9586</v>
      </c>
      <c r="N6" s="314">
        <f t="shared" ref="N6:N37" si="11">ROUND(M6*$N$4,0)</f>
        <v>958600</v>
      </c>
      <c r="O6" s="314">
        <f>D6+E6+F6+H6+J6+L6+N6</f>
        <v>1431007</v>
      </c>
      <c r="P6" s="311">
        <v>777.48</v>
      </c>
      <c r="Q6" s="312">
        <f>'2-1-13 SIS'!S7*'Table 4 Level 3'!P6</f>
        <v>7452923.2800000003</v>
      </c>
      <c r="R6" s="314">
        <f>O6+Q6</f>
        <v>8883930.2800000012</v>
      </c>
      <c r="T6" s="23"/>
      <c r="U6" s="1247"/>
      <c r="V6" s="411"/>
      <c r="W6" s="411"/>
    </row>
    <row r="7" spans="1:23">
      <c r="A7" s="99">
        <v>2</v>
      </c>
      <c r="B7" s="302" t="s">
        <v>94</v>
      </c>
      <c r="C7" s="317">
        <v>0</v>
      </c>
      <c r="D7" s="317">
        <v>0</v>
      </c>
      <c r="E7" s="317">
        <f t="shared" ref="E7:E70" si="12">C7-D7</f>
        <v>0</v>
      </c>
      <c r="F7" s="318">
        <f>'[8]Table 4 Level 3'!F7+'[8]Table 4 Level 3'!H7</f>
        <v>0</v>
      </c>
      <c r="G7" s="318">
        <f t="shared" si="9"/>
        <v>0</v>
      </c>
      <c r="H7" s="318">
        <f t="shared" ref="H7:H70" si="13">ROUND(-G7/4,0)</f>
        <v>0</v>
      </c>
      <c r="I7" s="316">
        <f>IF(F7&lt;0,0,'Table 3 Levels 1&amp;2'!C9)</f>
        <v>4083</v>
      </c>
      <c r="J7" s="314">
        <f t="shared" si="10"/>
        <v>201214</v>
      </c>
      <c r="K7" s="115">
        <v>0</v>
      </c>
      <c r="L7" s="1245">
        <f t="shared" ref="L7:L70" si="14">ROUND($L$4*K7,0)</f>
        <v>0</v>
      </c>
      <c r="M7" s="316">
        <f>'Table 3 Levels 1&amp;2'!C9</f>
        <v>4083</v>
      </c>
      <c r="N7" s="314">
        <f t="shared" si="11"/>
        <v>408300</v>
      </c>
      <c r="O7" s="314">
        <f t="shared" ref="O7:O70" si="15">D7+E7+F7+H7+J7+L7+N7</f>
        <v>609514</v>
      </c>
      <c r="P7" s="311">
        <v>842.32</v>
      </c>
      <c r="Q7" s="314">
        <f>'2-1-13 SIS'!S8*'Table 4 Level 3'!P7</f>
        <v>3439192.56</v>
      </c>
      <c r="R7" s="314">
        <f t="shared" ref="R7:R70" si="16">O7+Q7</f>
        <v>4048706.56</v>
      </c>
      <c r="T7" s="23"/>
      <c r="U7" s="1247"/>
      <c r="V7" s="411"/>
      <c r="W7" s="411"/>
    </row>
    <row r="8" spans="1:23">
      <c r="A8" s="99">
        <v>3</v>
      </c>
      <c r="B8" s="302" t="s">
        <v>95</v>
      </c>
      <c r="C8" s="317">
        <v>0</v>
      </c>
      <c r="D8" s="317">
        <v>0</v>
      </c>
      <c r="E8" s="317">
        <f t="shared" si="12"/>
        <v>0</v>
      </c>
      <c r="F8" s="318">
        <f>'[8]Table 4 Level 3'!F8+'[8]Table 4 Level 3'!H8</f>
        <v>0</v>
      </c>
      <c r="G8" s="318">
        <f t="shared" si="9"/>
        <v>0</v>
      </c>
      <c r="H8" s="318">
        <f t="shared" si="13"/>
        <v>0</v>
      </c>
      <c r="I8" s="316">
        <f>IF(F8&lt;0,0,'Table 3 Levels 1&amp;2'!C10)</f>
        <v>20592</v>
      </c>
      <c r="J8" s="314">
        <f t="shared" si="10"/>
        <v>1014792</v>
      </c>
      <c r="K8" s="115">
        <v>0</v>
      </c>
      <c r="L8" s="1245">
        <f t="shared" si="14"/>
        <v>0</v>
      </c>
      <c r="M8" s="316">
        <f>'Table 3 Levels 1&amp;2'!C10</f>
        <v>20592</v>
      </c>
      <c r="N8" s="314">
        <f t="shared" si="11"/>
        <v>2059200</v>
      </c>
      <c r="O8" s="314">
        <f t="shared" si="15"/>
        <v>3073992</v>
      </c>
      <c r="P8" s="311">
        <v>596.84</v>
      </c>
      <c r="Q8" s="314">
        <f>'2-1-13 SIS'!S9*'Table 4 Level 3'!P8</f>
        <v>12290129.280000001</v>
      </c>
      <c r="R8" s="314">
        <f t="shared" si="16"/>
        <v>15364121.280000001</v>
      </c>
      <c r="T8" s="23"/>
      <c r="U8" s="1247"/>
      <c r="V8" s="411"/>
      <c r="W8" s="411"/>
    </row>
    <row r="9" spans="1:23">
      <c r="A9" s="99">
        <v>4</v>
      </c>
      <c r="B9" s="302" t="s">
        <v>96</v>
      </c>
      <c r="C9" s="317">
        <v>0</v>
      </c>
      <c r="D9" s="317">
        <v>0</v>
      </c>
      <c r="E9" s="317">
        <f t="shared" si="12"/>
        <v>0</v>
      </c>
      <c r="F9" s="318">
        <f>'[8]Table 4 Level 3'!F9+'[8]Table 4 Level 3'!H9</f>
        <v>0</v>
      </c>
      <c r="G9" s="318">
        <f t="shared" si="9"/>
        <v>0</v>
      </c>
      <c r="H9" s="318">
        <f t="shared" si="13"/>
        <v>0</v>
      </c>
      <c r="I9" s="316">
        <f>IF(F9&lt;0,0,'Table 3 Levels 1&amp;2'!C11)</f>
        <v>3551</v>
      </c>
      <c r="J9" s="314">
        <f t="shared" si="10"/>
        <v>174996</v>
      </c>
      <c r="K9" s="115">
        <v>3</v>
      </c>
      <c r="L9" s="1245">
        <f t="shared" si="14"/>
        <v>60000</v>
      </c>
      <c r="M9" s="316">
        <f>'Table 3 Levels 1&amp;2'!C11</f>
        <v>3551</v>
      </c>
      <c r="N9" s="314">
        <f t="shared" si="11"/>
        <v>355100</v>
      </c>
      <c r="O9" s="314">
        <f t="shared" si="15"/>
        <v>590096</v>
      </c>
      <c r="P9" s="311">
        <v>585.76</v>
      </c>
      <c r="Q9" s="314">
        <f>'2-1-13 SIS'!S10*'Table 4 Level 3'!P9</f>
        <v>2080033.76</v>
      </c>
      <c r="R9" s="314">
        <f t="shared" si="16"/>
        <v>2670129.7599999998</v>
      </c>
      <c r="T9" s="23"/>
      <c r="U9" s="1247"/>
      <c r="V9" s="411"/>
      <c r="W9" s="411"/>
    </row>
    <row r="10" spans="1:23">
      <c r="A10" s="100">
        <v>5</v>
      </c>
      <c r="B10" s="303" t="s">
        <v>97</v>
      </c>
      <c r="C10" s="323">
        <v>0</v>
      </c>
      <c r="D10" s="323">
        <v>0</v>
      </c>
      <c r="E10" s="323">
        <f t="shared" si="12"/>
        <v>0</v>
      </c>
      <c r="F10" s="324">
        <f>'[8]Table 4 Level 3'!F10+'[8]Table 4 Level 3'!H10</f>
        <v>0</v>
      </c>
      <c r="G10" s="324">
        <f t="shared" si="9"/>
        <v>0</v>
      </c>
      <c r="H10" s="324">
        <f t="shared" si="13"/>
        <v>0</v>
      </c>
      <c r="I10" s="322">
        <f>IF(F10&lt;0,0,'Table 3 Levels 1&amp;2'!C12)</f>
        <v>5757</v>
      </c>
      <c r="J10" s="320">
        <f t="shared" si="10"/>
        <v>283710</v>
      </c>
      <c r="K10" s="1242">
        <v>0</v>
      </c>
      <c r="L10" s="1246">
        <f t="shared" si="14"/>
        <v>0</v>
      </c>
      <c r="M10" s="322">
        <f>'Table 3 Levels 1&amp;2'!C12</f>
        <v>5757</v>
      </c>
      <c r="N10" s="320">
        <f t="shared" si="11"/>
        <v>575700</v>
      </c>
      <c r="O10" s="320">
        <f t="shared" si="15"/>
        <v>859410</v>
      </c>
      <c r="P10" s="319">
        <v>555.91</v>
      </c>
      <c r="Q10" s="320">
        <f>'2-1-13 SIS'!S11*'Table 4 Level 3'!P10</f>
        <v>3200373.8699999996</v>
      </c>
      <c r="R10" s="320">
        <f t="shared" si="16"/>
        <v>4059783.8699999996</v>
      </c>
      <c r="T10" s="23"/>
      <c r="U10" s="1247"/>
      <c r="V10" s="411"/>
      <c r="W10" s="411"/>
    </row>
    <row r="11" spans="1:23">
      <c r="A11" s="99">
        <v>6</v>
      </c>
      <c r="B11" s="302" t="s">
        <v>98</v>
      </c>
      <c r="C11" s="317">
        <v>0</v>
      </c>
      <c r="D11" s="317">
        <v>0</v>
      </c>
      <c r="E11" s="317">
        <f t="shared" si="12"/>
        <v>0</v>
      </c>
      <c r="F11" s="318">
        <f>'[8]Table 4 Level 3'!F11+'[8]Table 4 Level 3'!H11</f>
        <v>0</v>
      </c>
      <c r="G11" s="318">
        <f t="shared" si="9"/>
        <v>0</v>
      </c>
      <c r="H11" s="318">
        <f t="shared" si="13"/>
        <v>0</v>
      </c>
      <c r="I11" s="316">
        <f>IF(F11&lt;0,0,'Table 3 Levels 1&amp;2'!C13)</f>
        <v>6057</v>
      </c>
      <c r="J11" s="314">
        <f t="shared" si="10"/>
        <v>298494</v>
      </c>
      <c r="K11" s="115">
        <v>0</v>
      </c>
      <c r="L11" s="1245">
        <f t="shared" si="14"/>
        <v>0</v>
      </c>
      <c r="M11" s="316">
        <f>'Table 3 Levels 1&amp;2'!C13</f>
        <v>6057</v>
      </c>
      <c r="N11" s="314">
        <f t="shared" si="11"/>
        <v>605700</v>
      </c>
      <c r="O11" s="314">
        <f t="shared" si="15"/>
        <v>904194</v>
      </c>
      <c r="P11" s="311">
        <v>545.4799999999999</v>
      </c>
      <c r="Q11" s="314">
        <f>'2-1-13 SIS'!S12*'Table 4 Level 3'!P11</f>
        <v>3303972.3599999994</v>
      </c>
      <c r="R11" s="314">
        <f t="shared" si="16"/>
        <v>4208166.3599999994</v>
      </c>
      <c r="T11" s="23"/>
      <c r="U11" s="1247"/>
      <c r="V11" s="411"/>
      <c r="W11" s="411"/>
    </row>
    <row r="12" spans="1:23">
      <c r="A12" s="99">
        <v>7</v>
      </c>
      <c r="B12" s="302" t="s">
        <v>99</v>
      </c>
      <c r="C12" s="317">
        <v>0</v>
      </c>
      <c r="D12" s="317">
        <v>0</v>
      </c>
      <c r="E12" s="317">
        <f t="shared" si="12"/>
        <v>0</v>
      </c>
      <c r="F12" s="318">
        <f>'[8]Table 4 Level 3'!F12+'[8]Table 4 Level 3'!H12</f>
        <v>0</v>
      </c>
      <c r="G12" s="318">
        <f t="shared" si="9"/>
        <v>0</v>
      </c>
      <c r="H12" s="318">
        <f t="shared" si="13"/>
        <v>0</v>
      </c>
      <c r="I12" s="316">
        <f>IF(F12&lt;0,0,'Table 3 Levels 1&amp;2'!C14)</f>
        <v>2203</v>
      </c>
      <c r="J12" s="314">
        <f t="shared" si="10"/>
        <v>108566</v>
      </c>
      <c r="K12" s="115">
        <v>0</v>
      </c>
      <c r="L12" s="1245">
        <f t="shared" si="14"/>
        <v>0</v>
      </c>
      <c r="M12" s="316">
        <f>'Table 3 Levels 1&amp;2'!C14</f>
        <v>2203</v>
      </c>
      <c r="N12" s="314">
        <f t="shared" si="11"/>
        <v>220300</v>
      </c>
      <c r="O12" s="314">
        <f t="shared" si="15"/>
        <v>328866</v>
      </c>
      <c r="P12" s="311">
        <v>756.91999999999985</v>
      </c>
      <c r="Q12" s="314">
        <f>'2-1-13 SIS'!S13*'Table 4 Level 3'!P12</f>
        <v>1667494.7599999995</v>
      </c>
      <c r="R12" s="314">
        <f t="shared" si="16"/>
        <v>1996360.7599999995</v>
      </c>
      <c r="T12" s="23"/>
      <c r="U12" s="1247"/>
      <c r="V12" s="411"/>
      <c r="W12" s="411"/>
    </row>
    <row r="13" spans="1:23">
      <c r="A13" s="99">
        <v>8</v>
      </c>
      <c r="B13" s="302" t="s">
        <v>100</v>
      </c>
      <c r="C13" s="317">
        <v>0</v>
      </c>
      <c r="D13" s="317">
        <v>0</v>
      </c>
      <c r="E13" s="317">
        <f t="shared" si="12"/>
        <v>0</v>
      </c>
      <c r="F13" s="318">
        <f>'[8]Table 4 Level 3'!F13+'[8]Table 4 Level 3'!H13</f>
        <v>0</v>
      </c>
      <c r="G13" s="318">
        <f t="shared" si="9"/>
        <v>0</v>
      </c>
      <c r="H13" s="318">
        <f t="shared" si="13"/>
        <v>0</v>
      </c>
      <c r="I13" s="316">
        <f>IF(F13&lt;0,0,'Table 3 Levels 1&amp;2'!C15)</f>
        <v>21190</v>
      </c>
      <c r="J13" s="314">
        <f t="shared" si="10"/>
        <v>1044262</v>
      </c>
      <c r="K13" s="115">
        <v>4</v>
      </c>
      <c r="L13" s="1245">
        <f t="shared" si="14"/>
        <v>80000</v>
      </c>
      <c r="M13" s="316">
        <f>'Table 3 Levels 1&amp;2'!C15</f>
        <v>21190</v>
      </c>
      <c r="N13" s="314">
        <f t="shared" si="11"/>
        <v>2119000</v>
      </c>
      <c r="O13" s="314">
        <f t="shared" si="15"/>
        <v>3243262</v>
      </c>
      <c r="P13" s="311">
        <v>725.76</v>
      </c>
      <c r="Q13" s="314">
        <f>'2-1-13 SIS'!S14*'Table 4 Level 3'!P13</f>
        <v>15378854.4</v>
      </c>
      <c r="R13" s="314">
        <f t="shared" si="16"/>
        <v>18622116.399999999</v>
      </c>
      <c r="T13" s="23"/>
      <c r="U13" s="1247"/>
      <c r="V13" s="411"/>
      <c r="W13" s="411"/>
    </row>
    <row r="14" spans="1:23">
      <c r="A14" s="99">
        <v>9</v>
      </c>
      <c r="B14" s="302" t="s">
        <v>101</v>
      </c>
      <c r="C14" s="317">
        <v>0</v>
      </c>
      <c r="D14" s="317">
        <v>0</v>
      </c>
      <c r="E14" s="317">
        <f t="shared" si="12"/>
        <v>0</v>
      </c>
      <c r="F14" s="318">
        <f>'[8]Table 4 Level 3'!F14+'[8]Table 4 Level 3'!H14</f>
        <v>0</v>
      </c>
      <c r="G14" s="318">
        <f t="shared" si="9"/>
        <v>0</v>
      </c>
      <c r="H14" s="318">
        <f t="shared" si="13"/>
        <v>0</v>
      </c>
      <c r="I14" s="316">
        <f>IF(F14&lt;0,0,'Table 3 Levels 1&amp;2'!C16)</f>
        <v>40876</v>
      </c>
      <c r="J14" s="314">
        <f t="shared" si="10"/>
        <v>2014406</v>
      </c>
      <c r="K14" s="115">
        <f>14</f>
        <v>14</v>
      </c>
      <c r="L14" s="1245">
        <f t="shared" si="14"/>
        <v>280000</v>
      </c>
      <c r="M14" s="316">
        <f>'Table 3 Levels 1&amp;2'!C16</f>
        <v>40876</v>
      </c>
      <c r="N14" s="314">
        <f t="shared" si="11"/>
        <v>4087600</v>
      </c>
      <c r="O14" s="314">
        <f t="shared" si="15"/>
        <v>6382006</v>
      </c>
      <c r="P14" s="311">
        <v>744.76</v>
      </c>
      <c r="Q14" s="314">
        <f>'2-1-13 SIS'!S15*'Table 4 Level 3'!P14</f>
        <v>30442809.759999998</v>
      </c>
      <c r="R14" s="314">
        <f t="shared" si="16"/>
        <v>36824815.759999998</v>
      </c>
      <c r="T14" s="23"/>
      <c r="U14" s="1247"/>
      <c r="V14" s="411"/>
      <c r="W14" s="411"/>
    </row>
    <row r="15" spans="1:23">
      <c r="A15" s="100">
        <v>10</v>
      </c>
      <c r="B15" s="303" t="s">
        <v>102</v>
      </c>
      <c r="C15" s="323">
        <v>0</v>
      </c>
      <c r="D15" s="323">
        <v>0</v>
      </c>
      <c r="E15" s="323">
        <f t="shared" si="12"/>
        <v>0</v>
      </c>
      <c r="F15" s="324">
        <f>'[8]Table 4 Level 3'!F15+'[8]Table 4 Level 3'!H15</f>
        <v>0</v>
      </c>
      <c r="G15" s="324">
        <f t="shared" si="9"/>
        <v>0</v>
      </c>
      <c r="H15" s="324">
        <f t="shared" si="13"/>
        <v>0</v>
      </c>
      <c r="I15" s="322">
        <f>IF(F15&lt;0,0,'Table 3 Levels 1&amp;2'!C17)</f>
        <v>32046</v>
      </c>
      <c r="J15" s="320">
        <f t="shared" si="10"/>
        <v>1579255</v>
      </c>
      <c r="K15" s="1242">
        <f>26</f>
        <v>26</v>
      </c>
      <c r="L15" s="1246">
        <f t="shared" si="14"/>
        <v>520000</v>
      </c>
      <c r="M15" s="322">
        <f>'Table 3 Levels 1&amp;2'!C17</f>
        <v>32046</v>
      </c>
      <c r="N15" s="320">
        <f t="shared" si="11"/>
        <v>3204600</v>
      </c>
      <c r="O15" s="320">
        <f t="shared" si="15"/>
        <v>5303855</v>
      </c>
      <c r="P15" s="319">
        <v>608.04000000000008</v>
      </c>
      <c r="Q15" s="320">
        <f>'2-1-13 SIS'!S16*'Table 4 Level 3'!P15</f>
        <v>19485249.840000004</v>
      </c>
      <c r="R15" s="320">
        <f t="shared" si="16"/>
        <v>24789104.840000004</v>
      </c>
      <c r="T15" s="23"/>
      <c r="U15" s="1247"/>
      <c r="V15" s="411"/>
      <c r="W15" s="411"/>
    </row>
    <row r="16" spans="1:23">
      <c r="A16" s="99">
        <v>11</v>
      </c>
      <c r="B16" s="302" t="s">
        <v>103</v>
      </c>
      <c r="C16" s="317">
        <v>0</v>
      </c>
      <c r="D16" s="317">
        <v>0</v>
      </c>
      <c r="E16" s="317">
        <f t="shared" si="12"/>
        <v>0</v>
      </c>
      <c r="F16" s="318">
        <f>'[8]Table 4 Level 3'!F16+'[8]Table 4 Level 3'!H16</f>
        <v>0</v>
      </c>
      <c r="G16" s="318">
        <f t="shared" si="9"/>
        <v>0</v>
      </c>
      <c r="H16" s="318">
        <f t="shared" si="13"/>
        <v>0</v>
      </c>
      <c r="I16" s="316">
        <f>IF(F16&lt;0,0,'Table 3 Levels 1&amp;2'!C18)</f>
        <v>1552</v>
      </c>
      <c r="J16" s="314">
        <f t="shared" si="10"/>
        <v>76484</v>
      </c>
      <c r="K16" s="115">
        <v>0</v>
      </c>
      <c r="L16" s="1245">
        <f t="shared" si="14"/>
        <v>0</v>
      </c>
      <c r="M16" s="316">
        <f>'Table 3 Levels 1&amp;2'!C18</f>
        <v>1552</v>
      </c>
      <c r="N16" s="314">
        <f t="shared" si="11"/>
        <v>155200</v>
      </c>
      <c r="O16" s="314">
        <f t="shared" si="15"/>
        <v>231684</v>
      </c>
      <c r="P16" s="311">
        <v>706.55</v>
      </c>
      <c r="Q16" s="314">
        <f>'2-1-13 SIS'!S17*'Table 4 Level 3'!P16</f>
        <v>1096565.5999999999</v>
      </c>
      <c r="R16" s="314">
        <f t="shared" si="16"/>
        <v>1328249.5999999999</v>
      </c>
      <c r="T16" s="23"/>
      <c r="U16" s="1247"/>
      <c r="V16" s="411"/>
      <c r="W16" s="411"/>
    </row>
    <row r="17" spans="1:23">
      <c r="A17" s="99">
        <v>12</v>
      </c>
      <c r="B17" s="302" t="s">
        <v>104</v>
      </c>
      <c r="C17" s="317">
        <v>0</v>
      </c>
      <c r="D17" s="317">
        <v>0</v>
      </c>
      <c r="E17" s="317">
        <f t="shared" si="12"/>
        <v>0</v>
      </c>
      <c r="F17" s="318">
        <f>'[8]Table 4 Level 3'!F17+'[8]Table 4 Level 3'!H17</f>
        <v>0</v>
      </c>
      <c r="G17" s="318">
        <f t="shared" si="9"/>
        <v>0</v>
      </c>
      <c r="H17" s="318">
        <f t="shared" si="13"/>
        <v>0</v>
      </c>
      <c r="I17" s="316">
        <f>IF(F17&lt;0,0,'Table 3 Levels 1&amp;2'!C19)</f>
        <v>1213</v>
      </c>
      <c r="J17" s="314">
        <f t="shared" si="10"/>
        <v>59778</v>
      </c>
      <c r="K17" s="115">
        <v>2</v>
      </c>
      <c r="L17" s="1245">
        <f t="shared" si="14"/>
        <v>40000</v>
      </c>
      <c r="M17" s="316">
        <f>'Table 3 Levels 1&amp;2'!C19</f>
        <v>1213</v>
      </c>
      <c r="N17" s="314">
        <f t="shared" si="11"/>
        <v>121300</v>
      </c>
      <c r="O17" s="314">
        <f t="shared" si="15"/>
        <v>221078</v>
      </c>
      <c r="P17" s="311">
        <v>1063.31</v>
      </c>
      <c r="Q17" s="314">
        <f>'2-1-13 SIS'!S18*'Table 4 Level 3'!P17</f>
        <v>1289795.03</v>
      </c>
      <c r="R17" s="314">
        <f t="shared" si="16"/>
        <v>1510873.03</v>
      </c>
      <c r="T17" s="23"/>
      <c r="U17" s="1247"/>
      <c r="V17" s="411"/>
      <c r="W17" s="411"/>
    </row>
    <row r="18" spans="1:23">
      <c r="A18" s="99">
        <v>13</v>
      </c>
      <c r="B18" s="302" t="s">
        <v>105</v>
      </c>
      <c r="C18" s="317">
        <v>0</v>
      </c>
      <c r="D18" s="317">
        <v>0</v>
      </c>
      <c r="E18" s="317">
        <f t="shared" si="12"/>
        <v>0</v>
      </c>
      <c r="F18" s="318">
        <f>'[8]Table 4 Level 3'!F18+'[8]Table 4 Level 3'!H18</f>
        <v>0</v>
      </c>
      <c r="G18" s="318">
        <f t="shared" si="9"/>
        <v>0</v>
      </c>
      <c r="H18" s="318">
        <f t="shared" si="13"/>
        <v>0</v>
      </c>
      <c r="I18" s="316">
        <f>IF(F18&lt;0,0,'Table 3 Levels 1&amp;2'!C20)</f>
        <v>1516</v>
      </c>
      <c r="J18" s="314">
        <f t="shared" si="10"/>
        <v>74710</v>
      </c>
      <c r="K18" s="115">
        <v>0</v>
      </c>
      <c r="L18" s="1245">
        <f t="shared" si="14"/>
        <v>0</v>
      </c>
      <c r="M18" s="316">
        <f>'Table 3 Levels 1&amp;2'!C20</f>
        <v>1516</v>
      </c>
      <c r="N18" s="314">
        <f t="shared" si="11"/>
        <v>151600</v>
      </c>
      <c r="O18" s="314">
        <f t="shared" si="15"/>
        <v>226310</v>
      </c>
      <c r="P18" s="311">
        <v>749.43000000000006</v>
      </c>
      <c r="Q18" s="314">
        <f>'2-1-13 SIS'!S19*'Table 4 Level 3'!P18</f>
        <v>1136135.8800000001</v>
      </c>
      <c r="R18" s="314">
        <f t="shared" si="16"/>
        <v>1362445.8800000001</v>
      </c>
      <c r="T18" s="23"/>
      <c r="U18" s="1247"/>
      <c r="V18" s="411"/>
      <c r="W18" s="411"/>
    </row>
    <row r="19" spans="1:23">
      <c r="A19" s="99">
        <v>14</v>
      </c>
      <c r="B19" s="302" t="s">
        <v>106</v>
      </c>
      <c r="C19" s="317">
        <v>0</v>
      </c>
      <c r="D19" s="317">
        <v>0</v>
      </c>
      <c r="E19" s="317">
        <f t="shared" si="12"/>
        <v>0</v>
      </c>
      <c r="F19" s="318">
        <f>'[8]Table 4 Level 3'!F19+'[8]Table 4 Level 3'!H19</f>
        <v>0</v>
      </c>
      <c r="G19" s="318">
        <f t="shared" si="9"/>
        <v>0</v>
      </c>
      <c r="H19" s="318">
        <f t="shared" si="13"/>
        <v>0</v>
      </c>
      <c r="I19" s="316">
        <f>IF(F19&lt;0,0,'Table 3 Levels 1&amp;2'!C21)</f>
        <v>1870</v>
      </c>
      <c r="J19" s="314">
        <f t="shared" si="10"/>
        <v>92155</v>
      </c>
      <c r="K19" s="115">
        <v>0</v>
      </c>
      <c r="L19" s="1245">
        <f t="shared" si="14"/>
        <v>0</v>
      </c>
      <c r="M19" s="316">
        <f>'Table 3 Levels 1&amp;2'!C21</f>
        <v>1870</v>
      </c>
      <c r="N19" s="314">
        <f t="shared" si="11"/>
        <v>187000</v>
      </c>
      <c r="O19" s="314">
        <f t="shared" si="15"/>
        <v>279155</v>
      </c>
      <c r="P19" s="311">
        <v>809.9799999999999</v>
      </c>
      <c r="Q19" s="314">
        <f>'2-1-13 SIS'!S20*'Table 4 Level 3'!P19</f>
        <v>1514662.5999999999</v>
      </c>
      <c r="R19" s="314">
        <f t="shared" si="16"/>
        <v>1793817.5999999999</v>
      </c>
      <c r="T19" s="23"/>
      <c r="U19" s="1247"/>
      <c r="V19" s="411"/>
      <c r="W19" s="411"/>
    </row>
    <row r="20" spans="1:23">
      <c r="A20" s="100">
        <v>15</v>
      </c>
      <c r="B20" s="303" t="s">
        <v>107</v>
      </c>
      <c r="C20" s="323">
        <v>224419</v>
      </c>
      <c r="D20" s="325">
        <v>0</v>
      </c>
      <c r="E20" s="323">
        <f t="shared" si="12"/>
        <v>224419</v>
      </c>
      <c r="F20" s="324">
        <f>'[8]Table 4 Level 3'!F20+'[8]Table 4 Level 3'!H20</f>
        <v>-134652</v>
      </c>
      <c r="G20" s="324">
        <f t="shared" si="9"/>
        <v>89767</v>
      </c>
      <c r="H20" s="324">
        <f t="shared" si="13"/>
        <v>-22442</v>
      </c>
      <c r="I20" s="322">
        <f>IF(F20&lt;0,0,'Table 3 Levels 1&amp;2'!C22)</f>
        <v>0</v>
      </c>
      <c r="J20" s="320">
        <f t="shared" si="10"/>
        <v>0</v>
      </c>
      <c r="K20" s="1242">
        <v>2</v>
      </c>
      <c r="L20" s="1246">
        <f t="shared" si="14"/>
        <v>40000</v>
      </c>
      <c r="M20" s="322">
        <f>'Table 3 Levels 1&amp;2'!C22</f>
        <v>3627</v>
      </c>
      <c r="N20" s="320">
        <f t="shared" si="11"/>
        <v>362700</v>
      </c>
      <c r="O20" s="320">
        <f t="shared" si="15"/>
        <v>470025</v>
      </c>
      <c r="P20" s="319">
        <v>553.79999999999995</v>
      </c>
      <c r="Q20" s="320">
        <f>'2-1-13 SIS'!S21*'Table 4 Level 3'!P20</f>
        <v>2008632.5999999999</v>
      </c>
      <c r="R20" s="320">
        <f t="shared" si="16"/>
        <v>2478657.5999999996</v>
      </c>
      <c r="T20" s="23"/>
      <c r="U20" s="1247"/>
      <c r="V20" s="411"/>
      <c r="W20" s="411"/>
    </row>
    <row r="21" spans="1:23">
      <c r="A21" s="99">
        <v>16</v>
      </c>
      <c r="B21" s="302" t="s">
        <v>108</v>
      </c>
      <c r="C21" s="317">
        <v>0</v>
      </c>
      <c r="D21" s="317">
        <v>0</v>
      </c>
      <c r="E21" s="317">
        <f t="shared" si="12"/>
        <v>0</v>
      </c>
      <c r="F21" s="318">
        <f>'[8]Table 4 Level 3'!F21+'[8]Table 4 Level 3'!H21</f>
        <v>0</v>
      </c>
      <c r="G21" s="318">
        <f t="shared" si="9"/>
        <v>0</v>
      </c>
      <c r="H21" s="318">
        <f t="shared" si="13"/>
        <v>0</v>
      </c>
      <c r="I21" s="316">
        <f>IF(F21&lt;0,0,'Table 3 Levels 1&amp;2'!C23)</f>
        <v>4954</v>
      </c>
      <c r="J21" s="314">
        <f t="shared" si="10"/>
        <v>244138</v>
      </c>
      <c r="K21" s="115">
        <v>1</v>
      </c>
      <c r="L21" s="1245">
        <f t="shared" si="14"/>
        <v>20000</v>
      </c>
      <c r="M21" s="316">
        <f>'Table 3 Levels 1&amp;2'!C23</f>
        <v>4954</v>
      </c>
      <c r="N21" s="314">
        <f t="shared" si="11"/>
        <v>495400</v>
      </c>
      <c r="O21" s="314">
        <f t="shared" si="15"/>
        <v>759538</v>
      </c>
      <c r="P21" s="311">
        <v>686.73</v>
      </c>
      <c r="Q21" s="314">
        <f>'2-1-13 SIS'!S22*'Table 4 Level 3'!P21</f>
        <v>3402060.42</v>
      </c>
      <c r="R21" s="314">
        <f t="shared" si="16"/>
        <v>4161598.42</v>
      </c>
      <c r="T21" s="23"/>
      <c r="U21" s="1247"/>
      <c r="V21" s="411"/>
      <c r="W21" s="411"/>
    </row>
    <row r="22" spans="1:23">
      <c r="A22" s="99">
        <v>17</v>
      </c>
      <c r="B22" s="302" t="s">
        <v>109</v>
      </c>
      <c r="C22" s="317">
        <v>25595514</v>
      </c>
      <c r="D22" s="317">
        <v>13580692</v>
      </c>
      <c r="E22" s="317">
        <f t="shared" si="12"/>
        <v>12014822</v>
      </c>
      <c r="F22" s="318">
        <f>'[8]Table 4 Level 3'!F22+'[8]Table 4 Level 3'!H22</f>
        <v>-7208892</v>
      </c>
      <c r="G22" s="318">
        <f t="shared" si="9"/>
        <v>4805930</v>
      </c>
      <c r="H22" s="318">
        <f t="shared" si="13"/>
        <v>-1201483</v>
      </c>
      <c r="I22" s="316">
        <f>IF(F22&lt;0,0,'Table 3 Levels 1&amp;2'!C24)</f>
        <v>0</v>
      </c>
      <c r="J22" s="314">
        <f t="shared" si="10"/>
        <v>0</v>
      </c>
      <c r="K22" s="115">
        <v>10</v>
      </c>
      <c r="L22" s="1245">
        <f t="shared" si="14"/>
        <v>200000</v>
      </c>
      <c r="M22" s="316">
        <f>'Table 3 Levels 1&amp;2'!C24</f>
        <v>43026</v>
      </c>
      <c r="N22" s="314">
        <f t="shared" si="11"/>
        <v>4302600</v>
      </c>
      <c r="O22" s="314">
        <f t="shared" si="15"/>
        <v>21687739</v>
      </c>
      <c r="P22" s="311">
        <f>'Table 5B2_RSD_LA'!F7</f>
        <v>801.47762416806802</v>
      </c>
      <c r="Q22" s="314">
        <f>'2-1-13 SIS'!S23*'Table 4 Level 3'!P22</f>
        <v>34484376.257455297</v>
      </c>
      <c r="R22" s="314">
        <f t="shared" si="16"/>
        <v>56172115.257455297</v>
      </c>
      <c r="T22" s="23"/>
      <c r="U22" s="1247"/>
      <c r="V22" s="411"/>
      <c r="W22" s="411"/>
    </row>
    <row r="23" spans="1:23">
      <c r="A23" s="99">
        <v>18</v>
      </c>
      <c r="B23" s="302" t="s">
        <v>110</v>
      </c>
      <c r="C23" s="317">
        <v>0</v>
      </c>
      <c r="D23" s="317">
        <v>0</v>
      </c>
      <c r="E23" s="317">
        <f t="shared" si="12"/>
        <v>0</v>
      </c>
      <c r="F23" s="318">
        <f>'[8]Table 4 Level 3'!F23+'[8]Table 4 Level 3'!H23</f>
        <v>0</v>
      </c>
      <c r="G23" s="318">
        <f t="shared" si="9"/>
        <v>0</v>
      </c>
      <c r="H23" s="318">
        <f t="shared" si="13"/>
        <v>0</v>
      </c>
      <c r="I23" s="316">
        <f>IF(F23&lt;0,0,'Table 3 Levels 1&amp;2'!C25)</f>
        <v>1114</v>
      </c>
      <c r="J23" s="314">
        <f t="shared" si="10"/>
        <v>54899</v>
      </c>
      <c r="K23" s="115">
        <v>1</v>
      </c>
      <c r="L23" s="1245">
        <f t="shared" si="14"/>
        <v>20000</v>
      </c>
      <c r="M23" s="316">
        <f>'Table 3 Levels 1&amp;2'!C25</f>
        <v>1114</v>
      </c>
      <c r="N23" s="314">
        <f t="shared" si="11"/>
        <v>111400</v>
      </c>
      <c r="O23" s="314">
        <f t="shared" si="15"/>
        <v>186299</v>
      </c>
      <c r="P23" s="311">
        <v>845.94999999999993</v>
      </c>
      <c r="Q23" s="314">
        <f>'2-1-13 SIS'!S24*'Table 4 Level 3'!P23</f>
        <v>942388.29999999993</v>
      </c>
      <c r="R23" s="314">
        <f t="shared" si="16"/>
        <v>1128687.2999999998</v>
      </c>
      <c r="T23" s="23"/>
      <c r="U23" s="1247"/>
      <c r="V23" s="411"/>
      <c r="W23" s="411"/>
    </row>
    <row r="24" spans="1:23">
      <c r="A24" s="99">
        <v>19</v>
      </c>
      <c r="B24" s="302" t="s">
        <v>111</v>
      </c>
      <c r="C24" s="317">
        <v>0</v>
      </c>
      <c r="D24" s="317">
        <v>0</v>
      </c>
      <c r="E24" s="317">
        <f t="shared" si="12"/>
        <v>0</v>
      </c>
      <c r="F24" s="318">
        <f>'[8]Table 4 Level 3'!F24+'[8]Table 4 Level 3'!H24</f>
        <v>0</v>
      </c>
      <c r="G24" s="318">
        <f t="shared" si="9"/>
        <v>0</v>
      </c>
      <c r="H24" s="318">
        <f t="shared" si="13"/>
        <v>0</v>
      </c>
      <c r="I24" s="316">
        <f>IF(F24&lt;0,0,'Table 3 Levels 1&amp;2'!C26)</f>
        <v>1918</v>
      </c>
      <c r="J24" s="314">
        <f t="shared" si="10"/>
        <v>94521</v>
      </c>
      <c r="K24" s="115">
        <v>0</v>
      </c>
      <c r="L24" s="1245">
        <f t="shared" si="14"/>
        <v>0</v>
      </c>
      <c r="M24" s="316">
        <f>'Table 3 Levels 1&amp;2'!C26</f>
        <v>1918</v>
      </c>
      <c r="N24" s="314">
        <f t="shared" si="11"/>
        <v>191800</v>
      </c>
      <c r="O24" s="314">
        <f t="shared" si="15"/>
        <v>286321</v>
      </c>
      <c r="P24" s="311">
        <v>905.43</v>
      </c>
      <c r="Q24" s="314">
        <f>'2-1-13 SIS'!S25*'Table 4 Level 3'!P24</f>
        <v>1736614.74</v>
      </c>
      <c r="R24" s="314">
        <f t="shared" si="16"/>
        <v>2022935.74</v>
      </c>
      <c r="T24" s="23"/>
      <c r="U24" s="1247"/>
      <c r="V24" s="411"/>
      <c r="W24" s="411"/>
    </row>
    <row r="25" spans="1:23">
      <c r="A25" s="100">
        <v>20</v>
      </c>
      <c r="B25" s="303" t="s">
        <v>112</v>
      </c>
      <c r="C25" s="323">
        <v>175620</v>
      </c>
      <c r="D25" s="323">
        <v>0</v>
      </c>
      <c r="E25" s="323">
        <f t="shared" si="12"/>
        <v>175620</v>
      </c>
      <c r="F25" s="324">
        <f>'[8]Table 4 Level 3'!F25+'[8]Table 4 Level 3'!H25</f>
        <v>-105372</v>
      </c>
      <c r="G25" s="324">
        <f t="shared" si="9"/>
        <v>70248</v>
      </c>
      <c r="H25" s="324">
        <f t="shared" si="13"/>
        <v>-17562</v>
      </c>
      <c r="I25" s="322">
        <f>IF(F25&lt;0,0,'Table 3 Levels 1&amp;2'!C27)</f>
        <v>0</v>
      </c>
      <c r="J25" s="320">
        <f t="shared" si="10"/>
        <v>0</v>
      </c>
      <c r="K25" s="1242">
        <v>0</v>
      </c>
      <c r="L25" s="1246">
        <f t="shared" si="14"/>
        <v>0</v>
      </c>
      <c r="M25" s="322">
        <f>'Table 3 Levels 1&amp;2'!C27</f>
        <v>5893</v>
      </c>
      <c r="N25" s="320">
        <f t="shared" si="11"/>
        <v>589300</v>
      </c>
      <c r="O25" s="320">
        <f t="shared" si="15"/>
        <v>641986</v>
      </c>
      <c r="P25" s="319">
        <v>586.16999999999996</v>
      </c>
      <c r="Q25" s="320">
        <f>'2-1-13 SIS'!S26*'Table 4 Level 3'!P25</f>
        <v>3454299.8099999996</v>
      </c>
      <c r="R25" s="320">
        <f t="shared" si="16"/>
        <v>4096285.8099999996</v>
      </c>
      <c r="T25" s="23"/>
      <c r="U25" s="1247"/>
      <c r="V25" s="411"/>
      <c r="W25" s="411"/>
    </row>
    <row r="26" spans="1:23">
      <c r="A26" s="99">
        <v>21</v>
      </c>
      <c r="B26" s="302" t="s">
        <v>113</v>
      </c>
      <c r="C26" s="317">
        <v>0</v>
      </c>
      <c r="D26" s="317">
        <v>0</v>
      </c>
      <c r="E26" s="317">
        <f t="shared" si="12"/>
        <v>0</v>
      </c>
      <c r="F26" s="318">
        <f>'[8]Table 4 Level 3'!F26+'[8]Table 4 Level 3'!H26</f>
        <v>0</v>
      </c>
      <c r="G26" s="318">
        <f t="shared" si="9"/>
        <v>0</v>
      </c>
      <c r="H26" s="318">
        <f t="shared" si="13"/>
        <v>0</v>
      </c>
      <c r="I26" s="316">
        <f>IF(F26&lt;0,0,'Table 3 Levels 1&amp;2'!C28)</f>
        <v>2967</v>
      </c>
      <c r="J26" s="314">
        <f t="shared" si="10"/>
        <v>146216</v>
      </c>
      <c r="K26" s="115">
        <v>0</v>
      </c>
      <c r="L26" s="1245">
        <f t="shared" si="14"/>
        <v>0</v>
      </c>
      <c r="M26" s="316">
        <f>'Table 3 Levels 1&amp;2'!C28</f>
        <v>2967</v>
      </c>
      <c r="N26" s="314">
        <f t="shared" si="11"/>
        <v>296700</v>
      </c>
      <c r="O26" s="314">
        <f t="shared" si="15"/>
        <v>442916</v>
      </c>
      <c r="P26" s="311">
        <v>610.35</v>
      </c>
      <c r="Q26" s="314">
        <f>'2-1-13 SIS'!S27*'Table 4 Level 3'!P26</f>
        <v>1810908.45</v>
      </c>
      <c r="R26" s="314">
        <f t="shared" si="16"/>
        <v>2253824.4500000002</v>
      </c>
      <c r="T26" s="23"/>
      <c r="U26" s="1247"/>
      <c r="V26" s="411"/>
      <c r="W26" s="411"/>
    </row>
    <row r="27" spans="1:23">
      <c r="A27" s="99">
        <v>22</v>
      </c>
      <c r="B27" s="302" t="s">
        <v>114</v>
      </c>
      <c r="C27" s="317">
        <v>0</v>
      </c>
      <c r="D27" s="317">
        <v>0</v>
      </c>
      <c r="E27" s="317">
        <f t="shared" si="12"/>
        <v>0</v>
      </c>
      <c r="F27" s="318">
        <f>'[8]Table 4 Level 3'!F27+'[8]Table 4 Level 3'!H27</f>
        <v>0</v>
      </c>
      <c r="G27" s="318">
        <f t="shared" si="9"/>
        <v>0</v>
      </c>
      <c r="H27" s="318">
        <f t="shared" si="13"/>
        <v>0</v>
      </c>
      <c r="I27" s="316">
        <f>IF(F27&lt;0,0,'Table 3 Levels 1&amp;2'!C29)</f>
        <v>3210</v>
      </c>
      <c r="J27" s="314">
        <f t="shared" si="10"/>
        <v>158192</v>
      </c>
      <c r="K27" s="115">
        <v>0</v>
      </c>
      <c r="L27" s="1245">
        <f t="shared" si="14"/>
        <v>0</v>
      </c>
      <c r="M27" s="316">
        <f>'Table 3 Levels 1&amp;2'!C29</f>
        <v>3210</v>
      </c>
      <c r="N27" s="314">
        <f t="shared" si="11"/>
        <v>321000</v>
      </c>
      <c r="O27" s="314">
        <f t="shared" si="15"/>
        <v>479192</v>
      </c>
      <c r="P27" s="311">
        <v>496.36</v>
      </c>
      <c r="Q27" s="314">
        <f>'2-1-13 SIS'!S28*'Table 4 Level 3'!P27</f>
        <v>1593315.6</v>
      </c>
      <c r="R27" s="314">
        <f t="shared" si="16"/>
        <v>2072507.6</v>
      </c>
      <c r="T27" s="23"/>
      <c r="U27" s="1247"/>
      <c r="V27" s="411"/>
      <c r="W27" s="411"/>
    </row>
    <row r="28" spans="1:23">
      <c r="A28" s="99">
        <v>23</v>
      </c>
      <c r="B28" s="302" t="s">
        <v>115</v>
      </c>
      <c r="C28" s="317">
        <v>0</v>
      </c>
      <c r="D28" s="317">
        <v>0</v>
      </c>
      <c r="E28" s="317">
        <f t="shared" si="12"/>
        <v>0</v>
      </c>
      <c r="F28" s="318">
        <f>'[8]Table 4 Level 3'!F28+'[8]Table 4 Level 3'!H28</f>
        <v>0</v>
      </c>
      <c r="G28" s="318">
        <f t="shared" si="9"/>
        <v>0</v>
      </c>
      <c r="H28" s="318">
        <f t="shared" si="13"/>
        <v>0</v>
      </c>
      <c r="I28" s="316">
        <f>IF(F28&lt;0,0,'Table 3 Levels 1&amp;2'!C30)</f>
        <v>13428</v>
      </c>
      <c r="J28" s="314">
        <f t="shared" si="10"/>
        <v>661744</v>
      </c>
      <c r="K28" s="115">
        <v>10</v>
      </c>
      <c r="L28" s="1245">
        <f t="shared" si="14"/>
        <v>200000</v>
      </c>
      <c r="M28" s="316">
        <f>'Table 3 Levels 1&amp;2'!C30</f>
        <v>13428</v>
      </c>
      <c r="N28" s="314">
        <f t="shared" si="11"/>
        <v>1342800</v>
      </c>
      <c r="O28" s="314">
        <f t="shared" si="15"/>
        <v>2204544</v>
      </c>
      <c r="P28" s="311">
        <v>688.58</v>
      </c>
      <c r="Q28" s="314">
        <f>'2-1-13 SIS'!S29*'Table 4 Level 3'!P28</f>
        <v>9246252.2400000002</v>
      </c>
      <c r="R28" s="314">
        <f t="shared" si="16"/>
        <v>11450796.24</v>
      </c>
      <c r="T28" s="23"/>
      <c r="U28" s="1247"/>
      <c r="V28" s="411"/>
      <c r="W28" s="411"/>
    </row>
    <row r="29" spans="1:23">
      <c r="A29" s="99">
        <v>24</v>
      </c>
      <c r="B29" s="302" t="s">
        <v>116</v>
      </c>
      <c r="C29" s="317">
        <v>2421938</v>
      </c>
      <c r="D29" s="317">
        <v>1654734</v>
      </c>
      <c r="E29" s="317">
        <f t="shared" si="12"/>
        <v>767204</v>
      </c>
      <c r="F29" s="318">
        <f>'[8]Table 4 Level 3'!F29+'[8]Table 4 Level 3'!H29</f>
        <v>-460322</v>
      </c>
      <c r="G29" s="318">
        <f t="shared" si="9"/>
        <v>306882</v>
      </c>
      <c r="H29" s="318">
        <f t="shared" si="13"/>
        <v>-76721</v>
      </c>
      <c r="I29" s="316">
        <f>IF(F29&lt;0,0,'Table 3 Levels 1&amp;2'!C31)</f>
        <v>0</v>
      </c>
      <c r="J29" s="314">
        <f t="shared" si="10"/>
        <v>0</v>
      </c>
      <c r="K29" s="115">
        <v>0</v>
      </c>
      <c r="L29" s="1245">
        <f t="shared" si="14"/>
        <v>0</v>
      </c>
      <c r="M29" s="316">
        <f>'Table 3 Levels 1&amp;2'!C31</f>
        <v>4512</v>
      </c>
      <c r="N29" s="314">
        <f t="shared" si="11"/>
        <v>451200</v>
      </c>
      <c r="O29" s="314">
        <f t="shared" si="15"/>
        <v>2336095</v>
      </c>
      <c r="P29" s="311">
        <v>854.24999999999989</v>
      </c>
      <c r="Q29" s="314">
        <f>'2-1-13 SIS'!S30*'Table 4 Level 3'!P29</f>
        <v>3854375.9999999995</v>
      </c>
      <c r="R29" s="314">
        <f t="shared" si="16"/>
        <v>6190471</v>
      </c>
      <c r="T29" s="23"/>
      <c r="U29" s="1247"/>
      <c r="V29" s="411"/>
      <c r="W29" s="411"/>
    </row>
    <row r="30" spans="1:23">
      <c r="A30" s="100">
        <v>25</v>
      </c>
      <c r="B30" s="303" t="s">
        <v>117</v>
      </c>
      <c r="C30" s="323">
        <v>0</v>
      </c>
      <c r="D30" s="323">
        <v>0</v>
      </c>
      <c r="E30" s="323">
        <f t="shared" si="12"/>
        <v>0</v>
      </c>
      <c r="F30" s="324">
        <f>'[8]Table 4 Level 3'!F30+'[8]Table 4 Level 3'!H30</f>
        <v>0</v>
      </c>
      <c r="G30" s="324">
        <f t="shared" si="9"/>
        <v>0</v>
      </c>
      <c r="H30" s="324">
        <f t="shared" si="13"/>
        <v>0</v>
      </c>
      <c r="I30" s="322">
        <f>IF(F30&lt;0,0,'Table 3 Levels 1&amp;2'!C32)</f>
        <v>2223</v>
      </c>
      <c r="J30" s="320">
        <f t="shared" si="10"/>
        <v>109551</v>
      </c>
      <c r="K30" s="1242">
        <v>0</v>
      </c>
      <c r="L30" s="1246">
        <f t="shared" si="14"/>
        <v>0</v>
      </c>
      <c r="M30" s="322">
        <f>'Table 3 Levels 1&amp;2'!C32</f>
        <v>2223</v>
      </c>
      <c r="N30" s="320">
        <f t="shared" si="11"/>
        <v>222300</v>
      </c>
      <c r="O30" s="320">
        <f t="shared" si="15"/>
        <v>331851</v>
      </c>
      <c r="P30" s="319">
        <v>653.73</v>
      </c>
      <c r="Q30" s="320">
        <f>'2-1-13 SIS'!S31*'Table 4 Level 3'!P30</f>
        <v>1453241.79</v>
      </c>
      <c r="R30" s="320">
        <f t="shared" si="16"/>
        <v>1785092.79</v>
      </c>
      <c r="T30" s="23"/>
      <c r="U30" s="1247"/>
      <c r="V30" s="411"/>
      <c r="W30" s="411"/>
    </row>
    <row r="31" spans="1:23">
      <c r="A31" s="99">
        <v>26</v>
      </c>
      <c r="B31" s="302" t="s">
        <v>118</v>
      </c>
      <c r="C31" s="317">
        <v>23386991</v>
      </c>
      <c r="D31" s="317">
        <v>14897747</v>
      </c>
      <c r="E31" s="317">
        <f t="shared" si="12"/>
        <v>8489244</v>
      </c>
      <c r="F31" s="318">
        <f>'[8]Table 4 Level 3'!F31+'[8]Table 4 Level 3'!H31</f>
        <v>-5093546</v>
      </c>
      <c r="G31" s="318">
        <f t="shared" si="9"/>
        <v>3395698</v>
      </c>
      <c r="H31" s="318">
        <f t="shared" si="13"/>
        <v>-848925</v>
      </c>
      <c r="I31" s="316">
        <f>IF(F31&lt;0,0,'Table 3 Levels 1&amp;2'!C33)</f>
        <v>0</v>
      </c>
      <c r="J31" s="314">
        <f t="shared" si="10"/>
        <v>0</v>
      </c>
      <c r="K31" s="115">
        <v>8</v>
      </c>
      <c r="L31" s="1245">
        <f t="shared" si="14"/>
        <v>160000</v>
      </c>
      <c r="M31" s="316">
        <f>'Table 3 Levels 1&amp;2'!C33</f>
        <v>43994</v>
      </c>
      <c r="N31" s="314">
        <f t="shared" si="11"/>
        <v>4399400</v>
      </c>
      <c r="O31" s="314">
        <f t="shared" si="15"/>
        <v>22003920</v>
      </c>
      <c r="P31" s="311">
        <v>836.83</v>
      </c>
      <c r="Q31" s="314">
        <f>'2-1-13 SIS'!S32*'Table 4 Level 3'!P31</f>
        <v>36815499.020000003</v>
      </c>
      <c r="R31" s="314">
        <f t="shared" si="16"/>
        <v>58819419.020000003</v>
      </c>
      <c r="T31" s="23"/>
      <c r="U31" s="1247"/>
      <c r="V31" s="411"/>
      <c r="W31" s="411"/>
    </row>
    <row r="32" spans="1:23">
      <c r="A32" s="99">
        <v>27</v>
      </c>
      <c r="B32" s="302" t="s">
        <v>119</v>
      </c>
      <c r="C32" s="317">
        <v>0</v>
      </c>
      <c r="D32" s="317">
        <v>0</v>
      </c>
      <c r="E32" s="317">
        <f t="shared" si="12"/>
        <v>0</v>
      </c>
      <c r="F32" s="318">
        <f>'[8]Table 4 Level 3'!F32+'[8]Table 4 Level 3'!H32</f>
        <v>0</v>
      </c>
      <c r="G32" s="318">
        <f t="shared" si="9"/>
        <v>0</v>
      </c>
      <c r="H32" s="318">
        <f t="shared" si="13"/>
        <v>0</v>
      </c>
      <c r="I32" s="316">
        <f>IF(F32&lt;0,0,'Table 3 Levels 1&amp;2'!C34)</f>
        <v>5614</v>
      </c>
      <c r="J32" s="314">
        <f t="shared" si="10"/>
        <v>276663</v>
      </c>
      <c r="K32" s="115">
        <v>0</v>
      </c>
      <c r="L32" s="1245">
        <f t="shared" si="14"/>
        <v>0</v>
      </c>
      <c r="M32" s="316">
        <f>'Table 3 Levels 1&amp;2'!C34</f>
        <v>5614</v>
      </c>
      <c r="N32" s="314">
        <f t="shared" si="11"/>
        <v>561400</v>
      </c>
      <c r="O32" s="314">
        <f t="shared" si="15"/>
        <v>838063</v>
      </c>
      <c r="P32" s="311">
        <v>693.06</v>
      </c>
      <c r="Q32" s="314">
        <f>'2-1-13 SIS'!S33*'Table 4 Level 3'!P32</f>
        <v>3890838.84</v>
      </c>
      <c r="R32" s="314">
        <f t="shared" si="16"/>
        <v>4728901.84</v>
      </c>
      <c r="T32" s="23"/>
      <c r="U32" s="1247"/>
      <c r="V32" s="411"/>
      <c r="W32" s="411"/>
    </row>
    <row r="33" spans="1:24">
      <c r="A33" s="99">
        <v>28</v>
      </c>
      <c r="B33" s="302" t="s">
        <v>120</v>
      </c>
      <c r="C33" s="317">
        <v>1996377</v>
      </c>
      <c r="D33" s="317">
        <v>1996377</v>
      </c>
      <c r="E33" s="317">
        <f t="shared" si="12"/>
        <v>0</v>
      </c>
      <c r="F33" s="318">
        <f>'[8]Table 4 Level 3'!F33+'[8]Table 4 Level 3'!H33</f>
        <v>0</v>
      </c>
      <c r="G33" s="318">
        <f t="shared" si="9"/>
        <v>0</v>
      </c>
      <c r="H33" s="318">
        <f t="shared" si="13"/>
        <v>0</v>
      </c>
      <c r="I33" s="316">
        <f>IF(F33&lt;0,0,'Table 3 Levels 1&amp;2'!C35)</f>
        <v>30011</v>
      </c>
      <c r="J33" s="314">
        <f t="shared" si="10"/>
        <v>1478969</v>
      </c>
      <c r="K33" s="115">
        <v>45</v>
      </c>
      <c r="L33" s="1245">
        <f t="shared" si="14"/>
        <v>900000</v>
      </c>
      <c r="M33" s="316">
        <f>'Table 3 Levels 1&amp;2'!C35</f>
        <v>30011</v>
      </c>
      <c r="N33" s="314">
        <f t="shared" si="11"/>
        <v>3001100</v>
      </c>
      <c r="O33" s="314">
        <f t="shared" si="15"/>
        <v>7376446</v>
      </c>
      <c r="P33" s="311">
        <v>694.4</v>
      </c>
      <c r="Q33" s="314">
        <f>'2-1-13 SIS'!S34*'Table 4 Level 3'!P33</f>
        <v>20839638.399999999</v>
      </c>
      <c r="R33" s="314">
        <f t="shared" si="16"/>
        <v>28216084.399999999</v>
      </c>
      <c r="T33" s="23"/>
      <c r="U33" s="1247"/>
      <c r="V33" s="411"/>
      <c r="W33" s="411"/>
    </row>
    <row r="34" spans="1:24">
      <c r="A34" s="99">
        <v>29</v>
      </c>
      <c r="B34" s="302" t="s">
        <v>121</v>
      </c>
      <c r="C34" s="317">
        <v>0</v>
      </c>
      <c r="D34" s="317">
        <v>0</v>
      </c>
      <c r="E34" s="317">
        <f t="shared" si="12"/>
        <v>0</v>
      </c>
      <c r="F34" s="318">
        <f>'[8]Table 4 Level 3'!F34+'[8]Table 4 Level 3'!H34</f>
        <v>0</v>
      </c>
      <c r="G34" s="318">
        <f t="shared" si="9"/>
        <v>0</v>
      </c>
      <c r="H34" s="318">
        <f t="shared" si="13"/>
        <v>0</v>
      </c>
      <c r="I34" s="316">
        <f>IF(F34&lt;0,0,'Table 3 Levels 1&amp;2'!C36)</f>
        <v>13679</v>
      </c>
      <c r="J34" s="314">
        <f t="shared" si="10"/>
        <v>674113</v>
      </c>
      <c r="K34" s="115">
        <f>25</f>
        <v>25</v>
      </c>
      <c r="L34" s="1245">
        <f t="shared" si="14"/>
        <v>500000</v>
      </c>
      <c r="M34" s="316">
        <f>'Table 3 Levels 1&amp;2'!C36</f>
        <v>13679</v>
      </c>
      <c r="N34" s="314">
        <f t="shared" si="11"/>
        <v>1367900</v>
      </c>
      <c r="O34" s="314">
        <f t="shared" si="15"/>
        <v>2542013</v>
      </c>
      <c r="P34" s="311">
        <v>754.94999999999993</v>
      </c>
      <c r="Q34" s="314">
        <f>'2-1-13 SIS'!S35*'Table 4 Level 3'!P34</f>
        <v>10326961.049999999</v>
      </c>
      <c r="R34" s="314">
        <f t="shared" si="16"/>
        <v>12868974.049999999</v>
      </c>
      <c r="T34" s="23"/>
      <c r="U34" s="1247"/>
      <c r="V34" s="411"/>
      <c r="W34" s="411"/>
    </row>
    <row r="35" spans="1:24">
      <c r="A35" s="100">
        <v>30</v>
      </c>
      <c r="B35" s="303" t="s">
        <v>122</v>
      </c>
      <c r="C35" s="323">
        <v>0</v>
      </c>
      <c r="D35" s="323">
        <v>0</v>
      </c>
      <c r="E35" s="323">
        <f t="shared" si="12"/>
        <v>0</v>
      </c>
      <c r="F35" s="324">
        <f>'[8]Table 4 Level 3'!F35+'[8]Table 4 Level 3'!H35</f>
        <v>0</v>
      </c>
      <c r="G35" s="324">
        <f t="shared" si="9"/>
        <v>0</v>
      </c>
      <c r="H35" s="324">
        <f t="shared" si="13"/>
        <v>0</v>
      </c>
      <c r="I35" s="322">
        <f>IF(F35&lt;0,0,'Table 3 Levels 1&amp;2'!C37)</f>
        <v>2476</v>
      </c>
      <c r="J35" s="320">
        <f t="shared" si="10"/>
        <v>122019</v>
      </c>
      <c r="K35" s="1242">
        <v>0</v>
      </c>
      <c r="L35" s="1246">
        <f t="shared" si="14"/>
        <v>0</v>
      </c>
      <c r="M35" s="322">
        <f>'Table 3 Levels 1&amp;2'!C37</f>
        <v>2476</v>
      </c>
      <c r="N35" s="320">
        <f t="shared" si="11"/>
        <v>247600</v>
      </c>
      <c r="O35" s="320">
        <f t="shared" si="15"/>
        <v>369619</v>
      </c>
      <c r="P35" s="319">
        <v>727.17</v>
      </c>
      <c r="Q35" s="320">
        <f>'2-1-13 SIS'!S36*'Table 4 Level 3'!P35</f>
        <v>1800472.92</v>
      </c>
      <c r="R35" s="320">
        <f t="shared" si="16"/>
        <v>2170091.92</v>
      </c>
      <c r="T35" s="23"/>
      <c r="U35" s="1247"/>
      <c r="V35" s="411"/>
      <c r="W35" s="411"/>
    </row>
    <row r="36" spans="1:24">
      <c r="A36" s="99">
        <v>31</v>
      </c>
      <c r="B36" s="302" t="s">
        <v>123</v>
      </c>
      <c r="C36" s="317">
        <v>0</v>
      </c>
      <c r="D36" s="317">
        <v>0</v>
      </c>
      <c r="E36" s="317">
        <f t="shared" si="12"/>
        <v>0</v>
      </c>
      <c r="F36" s="318">
        <f>'[8]Table 4 Level 3'!F36+'[8]Table 4 Level 3'!H36</f>
        <v>0</v>
      </c>
      <c r="G36" s="318">
        <f t="shared" si="9"/>
        <v>0</v>
      </c>
      <c r="H36" s="318">
        <f t="shared" si="13"/>
        <v>0</v>
      </c>
      <c r="I36" s="316">
        <f>IF(F36&lt;0,0,'Table 3 Levels 1&amp;2'!C38)</f>
        <v>6405</v>
      </c>
      <c r="J36" s="314">
        <f t="shared" si="10"/>
        <v>315644</v>
      </c>
      <c r="K36" s="115">
        <v>0</v>
      </c>
      <c r="L36" s="1245">
        <f t="shared" si="14"/>
        <v>0</v>
      </c>
      <c r="M36" s="316">
        <f>'Table 3 Levels 1&amp;2'!C38</f>
        <v>6405</v>
      </c>
      <c r="N36" s="314">
        <f t="shared" si="11"/>
        <v>640500</v>
      </c>
      <c r="O36" s="314">
        <f t="shared" si="15"/>
        <v>956144</v>
      </c>
      <c r="P36" s="311">
        <v>620.83000000000004</v>
      </c>
      <c r="Q36" s="314">
        <f>'2-1-13 SIS'!S37*'Table 4 Level 3'!P36</f>
        <v>3976416.1500000004</v>
      </c>
      <c r="R36" s="314">
        <f t="shared" si="16"/>
        <v>4932560.1500000004</v>
      </c>
      <c r="T36" s="23"/>
      <c r="U36" s="1247"/>
      <c r="V36" s="411"/>
      <c r="W36" s="411"/>
    </row>
    <row r="37" spans="1:24">
      <c r="A37" s="99">
        <v>32</v>
      </c>
      <c r="B37" s="302" t="s">
        <v>124</v>
      </c>
      <c r="C37" s="317">
        <v>0</v>
      </c>
      <c r="D37" s="317">
        <v>0</v>
      </c>
      <c r="E37" s="317">
        <f t="shared" si="12"/>
        <v>0</v>
      </c>
      <c r="F37" s="318">
        <f>'[8]Table 4 Level 3'!F37+'[8]Table 4 Level 3'!H37</f>
        <v>0</v>
      </c>
      <c r="G37" s="318">
        <f t="shared" si="9"/>
        <v>0</v>
      </c>
      <c r="H37" s="318">
        <f t="shared" si="13"/>
        <v>0</v>
      </c>
      <c r="I37" s="316">
        <f>IF(F37&lt;0,0,'Table 3 Levels 1&amp;2'!C39)</f>
        <v>24815</v>
      </c>
      <c r="J37" s="314">
        <f t="shared" si="10"/>
        <v>1222905</v>
      </c>
      <c r="K37" s="115">
        <v>0</v>
      </c>
      <c r="L37" s="1245">
        <f t="shared" si="14"/>
        <v>0</v>
      </c>
      <c r="M37" s="316">
        <f>'Table 3 Levels 1&amp;2'!C39</f>
        <v>24815</v>
      </c>
      <c r="N37" s="314">
        <f t="shared" si="11"/>
        <v>2481500</v>
      </c>
      <c r="O37" s="314">
        <f t="shared" si="15"/>
        <v>3704405</v>
      </c>
      <c r="P37" s="311">
        <v>559.77</v>
      </c>
      <c r="Q37" s="314">
        <f>'2-1-13 SIS'!S38*'Table 4 Level 3'!P37</f>
        <v>13890692.549999999</v>
      </c>
      <c r="R37" s="314">
        <f t="shared" si="16"/>
        <v>17595097.549999997</v>
      </c>
      <c r="T37" s="23"/>
      <c r="U37" s="1247"/>
      <c r="V37" s="411"/>
      <c r="W37" s="411"/>
    </row>
    <row r="38" spans="1:24">
      <c r="A38" s="99">
        <v>33</v>
      </c>
      <c r="B38" s="302" t="s">
        <v>125</v>
      </c>
      <c r="C38" s="317">
        <v>0</v>
      </c>
      <c r="D38" s="317">
        <v>0</v>
      </c>
      <c r="E38" s="317">
        <f t="shared" si="12"/>
        <v>0</v>
      </c>
      <c r="F38" s="318">
        <f>'[8]Table 4 Level 3'!F38+'[8]Table 4 Level 3'!H38</f>
        <v>0</v>
      </c>
      <c r="G38" s="318">
        <f t="shared" ref="G38:G69" si="17">SUM(E38:F38)</f>
        <v>0</v>
      </c>
      <c r="H38" s="318">
        <f t="shared" si="13"/>
        <v>0</v>
      </c>
      <c r="I38" s="316">
        <f>IF(F38&lt;0,0,'Table 3 Levels 1&amp;2'!C40)</f>
        <v>1792</v>
      </c>
      <c r="J38" s="314">
        <f t="shared" ref="J38:J69" si="18">ROUND($J$4*I38,0)</f>
        <v>88311</v>
      </c>
      <c r="K38" s="115">
        <v>0</v>
      </c>
      <c r="L38" s="1245">
        <f t="shared" si="14"/>
        <v>0</v>
      </c>
      <c r="M38" s="316">
        <f>'Table 3 Levels 1&amp;2'!C40</f>
        <v>1792</v>
      </c>
      <c r="N38" s="314">
        <f t="shared" ref="N38:N69" si="19">ROUND(M38*$N$4,0)</f>
        <v>179200</v>
      </c>
      <c r="O38" s="314">
        <f t="shared" si="15"/>
        <v>267511</v>
      </c>
      <c r="P38" s="311">
        <v>655.31000000000006</v>
      </c>
      <c r="Q38" s="314">
        <f>'2-1-13 SIS'!S39*'Table 4 Level 3'!P38</f>
        <v>1174315.52</v>
      </c>
      <c r="R38" s="314">
        <f t="shared" si="16"/>
        <v>1441826.52</v>
      </c>
      <c r="T38" s="23"/>
      <c r="U38" s="1247"/>
      <c r="V38" s="411"/>
      <c r="W38" s="411"/>
    </row>
    <row r="39" spans="1:24">
      <c r="A39" s="99">
        <v>34</v>
      </c>
      <c r="B39" s="302" t="s">
        <v>126</v>
      </c>
      <c r="C39" s="317">
        <v>0</v>
      </c>
      <c r="D39" s="317">
        <v>0</v>
      </c>
      <c r="E39" s="317">
        <f t="shared" si="12"/>
        <v>0</v>
      </c>
      <c r="F39" s="318">
        <f>'[8]Table 4 Level 3'!F39+'[8]Table 4 Level 3'!H39</f>
        <v>0</v>
      </c>
      <c r="G39" s="318">
        <f t="shared" si="17"/>
        <v>0</v>
      </c>
      <c r="H39" s="318">
        <f t="shared" si="13"/>
        <v>0</v>
      </c>
      <c r="I39" s="316">
        <f>IF(F39&lt;0,0,'Table 3 Levels 1&amp;2'!C41)</f>
        <v>4272</v>
      </c>
      <c r="J39" s="314">
        <f t="shared" si="18"/>
        <v>210528</v>
      </c>
      <c r="K39" s="115">
        <v>0</v>
      </c>
      <c r="L39" s="1245">
        <f t="shared" si="14"/>
        <v>0</v>
      </c>
      <c r="M39" s="316">
        <f>'Table 3 Levels 1&amp;2'!C41</f>
        <v>4272</v>
      </c>
      <c r="N39" s="314">
        <f t="shared" si="19"/>
        <v>427200</v>
      </c>
      <c r="O39" s="314">
        <f t="shared" si="15"/>
        <v>637728</v>
      </c>
      <c r="P39" s="311">
        <v>644.11000000000013</v>
      </c>
      <c r="Q39" s="314">
        <f>'2-1-13 SIS'!S40*'Table 4 Level 3'!P39</f>
        <v>2751637.9200000004</v>
      </c>
      <c r="R39" s="314">
        <f t="shared" si="16"/>
        <v>3389365.9200000004</v>
      </c>
      <c r="T39" s="23"/>
      <c r="U39" s="1247"/>
      <c r="V39" s="411"/>
      <c r="W39" s="411"/>
    </row>
    <row r="40" spans="1:24">
      <c r="A40" s="100">
        <v>35</v>
      </c>
      <c r="B40" s="303" t="s">
        <v>127</v>
      </c>
      <c r="C40" s="323">
        <v>0</v>
      </c>
      <c r="D40" s="323">
        <v>0</v>
      </c>
      <c r="E40" s="323">
        <f t="shared" si="12"/>
        <v>0</v>
      </c>
      <c r="F40" s="324">
        <f>'[8]Table 4 Level 3'!F40+'[8]Table 4 Level 3'!H40</f>
        <v>0</v>
      </c>
      <c r="G40" s="324">
        <f t="shared" si="17"/>
        <v>0</v>
      </c>
      <c r="H40" s="324">
        <f t="shared" si="13"/>
        <v>0</v>
      </c>
      <c r="I40" s="322">
        <f>IF(F40&lt;0,0,'Table 3 Levels 1&amp;2'!C42)</f>
        <v>6490</v>
      </c>
      <c r="J40" s="320">
        <f t="shared" si="18"/>
        <v>319833</v>
      </c>
      <c r="K40" s="1242">
        <v>0</v>
      </c>
      <c r="L40" s="1246">
        <f t="shared" si="14"/>
        <v>0</v>
      </c>
      <c r="M40" s="322">
        <f>'Table 3 Levels 1&amp;2'!C42</f>
        <v>6490</v>
      </c>
      <c r="N40" s="320">
        <f t="shared" si="19"/>
        <v>649000</v>
      </c>
      <c r="O40" s="320">
        <f t="shared" si="15"/>
        <v>968833</v>
      </c>
      <c r="P40" s="319">
        <v>537.96</v>
      </c>
      <c r="Q40" s="320">
        <f>'2-1-13 SIS'!S41*'Table 4 Level 3'!P40</f>
        <v>3491360.4000000004</v>
      </c>
      <c r="R40" s="320">
        <f t="shared" si="16"/>
        <v>4460193.4000000004</v>
      </c>
      <c r="T40" s="23"/>
      <c r="U40" s="1247"/>
      <c r="V40" s="411"/>
      <c r="W40" s="411"/>
    </row>
    <row r="41" spans="1:24">
      <c r="A41" s="99">
        <v>36</v>
      </c>
      <c r="B41" s="302" t="s">
        <v>128</v>
      </c>
      <c r="C41" s="317">
        <v>0</v>
      </c>
      <c r="D41" s="317">
        <v>0</v>
      </c>
      <c r="E41" s="317">
        <f t="shared" si="12"/>
        <v>0</v>
      </c>
      <c r="F41" s="318">
        <f>'[8]Table 4 Level 3'!F41+'[8]Table 4 Level 3'!H41</f>
        <v>0</v>
      </c>
      <c r="G41" s="318">
        <f t="shared" si="17"/>
        <v>0</v>
      </c>
      <c r="H41" s="328">
        <f t="shared" si="13"/>
        <v>0</v>
      </c>
      <c r="I41" s="326">
        <f>IF(F41&lt;0,0,'Table 3 Levels 1&amp;2'!C43)</f>
        <v>40704</v>
      </c>
      <c r="J41" s="314">
        <f t="shared" si="18"/>
        <v>2005929</v>
      </c>
      <c r="K41" s="115">
        <f>23+18</f>
        <v>41</v>
      </c>
      <c r="L41" s="1245">
        <f t="shared" si="14"/>
        <v>820000</v>
      </c>
      <c r="M41" s="316">
        <f>'Table 3 Levels 1&amp;2'!C43</f>
        <v>40704</v>
      </c>
      <c r="N41" s="314">
        <f t="shared" si="19"/>
        <v>4070400</v>
      </c>
      <c r="O41" s="314">
        <f t="shared" si="15"/>
        <v>6896329</v>
      </c>
      <c r="P41" s="311">
        <f>'Table 5B1_RSD_Orleans'!F7</f>
        <v>727.23177743956114</v>
      </c>
      <c r="Q41" s="1205">
        <f>'Table 5B1_RSD_Orleans'!G72+'Table 5C1A-Madison Prep'!G42+'Table 5C1B-DArbonne'!G42+'Table 5C1C-Intl_VIBE'!G42+'Table 5C1D-NOMMA'!G42+'Table 5C1E-LFNO'!G42+'Table 5C1F-Lake Charles Charter'!G42+'Table 5C1G-JS Clark Academy'!G42+'Table 5C1H-Southwest LA Charter'!G42+'Table 5C2 - LA Virtual Admy'!G39+'Table 5C3 - LA Connections EBR'!G39</f>
        <v>29920183.015967853</v>
      </c>
      <c r="R41" s="314">
        <f>O41+Q41</f>
        <v>36816512.015967853</v>
      </c>
      <c r="T41" s="1193"/>
      <c r="U41" s="1247"/>
      <c r="V41" s="1192"/>
      <c r="W41" s="411"/>
      <c r="X41" s="861"/>
    </row>
    <row r="42" spans="1:24">
      <c r="A42" s="99">
        <v>37</v>
      </c>
      <c r="B42" s="302" t="s">
        <v>129</v>
      </c>
      <c r="C42" s="317">
        <v>0</v>
      </c>
      <c r="D42" s="317">
        <v>0</v>
      </c>
      <c r="E42" s="317">
        <f t="shared" si="12"/>
        <v>0</v>
      </c>
      <c r="F42" s="318">
        <f>'[8]Table 4 Level 3'!F42+'[8]Table 4 Level 3'!H42</f>
        <v>0</v>
      </c>
      <c r="G42" s="318">
        <f t="shared" si="17"/>
        <v>0</v>
      </c>
      <c r="H42" s="318">
        <f t="shared" si="13"/>
        <v>0</v>
      </c>
      <c r="I42" s="316">
        <f>IF(F42&lt;0,0,'Table 3 Levels 1&amp;2'!C44)</f>
        <v>19622</v>
      </c>
      <c r="J42" s="314">
        <f t="shared" si="18"/>
        <v>966990</v>
      </c>
      <c r="K42" s="115">
        <v>1</v>
      </c>
      <c r="L42" s="1245">
        <f t="shared" si="14"/>
        <v>20000</v>
      </c>
      <c r="M42" s="316">
        <f>'Table 3 Levels 1&amp;2'!C44</f>
        <v>19622</v>
      </c>
      <c r="N42" s="314">
        <f t="shared" si="19"/>
        <v>1962200</v>
      </c>
      <c r="O42" s="314">
        <f t="shared" si="15"/>
        <v>2949190</v>
      </c>
      <c r="P42" s="311">
        <v>653.61</v>
      </c>
      <c r="Q42" s="314">
        <f>'2-1-13 SIS'!S43*'Table 4 Level 3'!P42</f>
        <v>12825135.42</v>
      </c>
      <c r="R42" s="314">
        <f t="shared" si="16"/>
        <v>15774325.42</v>
      </c>
      <c r="T42" s="23"/>
      <c r="U42" s="1247"/>
      <c r="V42" s="411"/>
      <c r="W42" s="411"/>
      <c r="X42" s="796"/>
    </row>
    <row r="43" spans="1:24">
      <c r="A43" s="99">
        <v>38</v>
      </c>
      <c r="B43" s="302" t="s">
        <v>130</v>
      </c>
      <c r="C43" s="317">
        <v>5387703</v>
      </c>
      <c r="D43" s="317">
        <v>1258024</v>
      </c>
      <c r="E43" s="317">
        <f t="shared" si="12"/>
        <v>4129679</v>
      </c>
      <c r="F43" s="318">
        <f>'[8]Table 4 Level 3'!F43+'[8]Table 4 Level 3'!H43</f>
        <v>-2477808</v>
      </c>
      <c r="G43" s="441">
        <f t="shared" si="17"/>
        <v>1651871</v>
      </c>
      <c r="H43" s="318">
        <f t="shared" si="13"/>
        <v>-412968</v>
      </c>
      <c r="I43" s="316">
        <f>IF(F43&lt;0,0,'Table 3 Levels 1&amp;2'!C45)</f>
        <v>0</v>
      </c>
      <c r="J43" s="314">
        <f t="shared" si="18"/>
        <v>0</v>
      </c>
      <c r="K43" s="115">
        <v>3</v>
      </c>
      <c r="L43" s="1245">
        <f t="shared" si="14"/>
        <v>60000</v>
      </c>
      <c r="M43" s="316">
        <f>'Table 3 Levels 1&amp;2'!C45</f>
        <v>3810</v>
      </c>
      <c r="N43" s="314">
        <f t="shared" si="19"/>
        <v>381000</v>
      </c>
      <c r="O43" s="314">
        <f t="shared" si="15"/>
        <v>2937927</v>
      </c>
      <c r="P43" s="311">
        <v>829.92000000000007</v>
      </c>
      <c r="Q43" s="314">
        <f>'2-1-13 SIS'!S44*'Table 4 Level 3'!P43</f>
        <v>3161995.2</v>
      </c>
      <c r="R43" s="314">
        <f t="shared" si="16"/>
        <v>6099922.2000000002</v>
      </c>
      <c r="T43" s="23"/>
      <c r="U43" s="1247"/>
      <c r="V43" s="411"/>
      <c r="W43" s="411"/>
    </row>
    <row r="44" spans="1:24">
      <c r="A44" s="99">
        <v>39</v>
      </c>
      <c r="B44" s="302" t="s">
        <v>131</v>
      </c>
      <c r="C44" s="317">
        <v>324688</v>
      </c>
      <c r="D44" s="317">
        <v>324688</v>
      </c>
      <c r="E44" s="317">
        <f t="shared" si="12"/>
        <v>0</v>
      </c>
      <c r="F44" s="318">
        <f>'[8]Table 4 Level 3'!F44+'[8]Table 4 Level 3'!H44</f>
        <v>0</v>
      </c>
      <c r="G44" s="318">
        <f t="shared" si="17"/>
        <v>0</v>
      </c>
      <c r="H44" s="318">
        <f t="shared" si="13"/>
        <v>0</v>
      </c>
      <c r="I44" s="316">
        <f>IF(F44&lt;0,0,'Table 3 Levels 1&amp;2'!C46)</f>
        <v>2839</v>
      </c>
      <c r="J44" s="314">
        <f t="shared" si="18"/>
        <v>139908</v>
      </c>
      <c r="K44" s="115">
        <v>0</v>
      </c>
      <c r="L44" s="1245">
        <f t="shared" si="14"/>
        <v>0</v>
      </c>
      <c r="M44" s="316">
        <f>'Table 3 Levels 1&amp;2'!C46</f>
        <v>2839</v>
      </c>
      <c r="N44" s="314">
        <f t="shared" si="19"/>
        <v>283900</v>
      </c>
      <c r="O44" s="314">
        <f t="shared" si="15"/>
        <v>748496</v>
      </c>
      <c r="P44" s="311">
        <f>'Table 5B2_RSD_LA'!F21</f>
        <v>779.65573042776441</v>
      </c>
      <c r="Q44" s="314">
        <f>'2-1-13 SIS'!S45*'Table 4 Level 3'!P44</f>
        <v>2213442.6186844232</v>
      </c>
      <c r="R44" s="314">
        <f t="shared" si="16"/>
        <v>2961938.6186844232</v>
      </c>
      <c r="T44" s="23"/>
      <c r="U44" s="1247"/>
      <c r="V44" s="411"/>
      <c r="W44" s="411"/>
    </row>
    <row r="45" spans="1:24">
      <c r="A45" s="100">
        <v>40</v>
      </c>
      <c r="B45" s="303" t="s">
        <v>132</v>
      </c>
      <c r="C45" s="323">
        <v>0</v>
      </c>
      <c r="D45" s="323">
        <v>0</v>
      </c>
      <c r="E45" s="323">
        <f t="shared" si="12"/>
        <v>0</v>
      </c>
      <c r="F45" s="324">
        <f>'[8]Table 4 Level 3'!F45+'[8]Table 4 Level 3'!H45</f>
        <v>0</v>
      </c>
      <c r="G45" s="324">
        <f t="shared" si="17"/>
        <v>0</v>
      </c>
      <c r="H45" s="324">
        <f t="shared" si="13"/>
        <v>0</v>
      </c>
      <c r="I45" s="322">
        <f>IF(F45&lt;0,0,'Table 3 Levels 1&amp;2'!C47)</f>
        <v>22975</v>
      </c>
      <c r="J45" s="320">
        <f t="shared" si="18"/>
        <v>1132228</v>
      </c>
      <c r="K45" s="1242">
        <v>0</v>
      </c>
      <c r="L45" s="1246">
        <f t="shared" si="14"/>
        <v>0</v>
      </c>
      <c r="M45" s="322">
        <f>'Table 3 Levels 1&amp;2'!C47</f>
        <v>22975</v>
      </c>
      <c r="N45" s="320">
        <f t="shared" si="19"/>
        <v>2297500</v>
      </c>
      <c r="O45" s="320">
        <f t="shared" si="15"/>
        <v>3429728</v>
      </c>
      <c r="P45" s="319">
        <v>700.2700000000001</v>
      </c>
      <c r="Q45" s="320">
        <f>'2-1-13 SIS'!S46*'Table 4 Level 3'!P45</f>
        <v>16088703.250000002</v>
      </c>
      <c r="R45" s="320">
        <f t="shared" si="16"/>
        <v>19518431.25</v>
      </c>
      <c r="T45" s="23"/>
      <c r="U45" s="1247"/>
      <c r="V45" s="411"/>
      <c r="W45" s="411"/>
    </row>
    <row r="46" spans="1:24">
      <c r="A46" s="99">
        <v>41</v>
      </c>
      <c r="B46" s="302" t="s">
        <v>133</v>
      </c>
      <c r="C46" s="317">
        <v>0</v>
      </c>
      <c r="D46" s="317">
        <v>0</v>
      </c>
      <c r="E46" s="317">
        <f t="shared" si="12"/>
        <v>0</v>
      </c>
      <c r="F46" s="318">
        <f>'[8]Table 4 Level 3'!F46+'[8]Table 4 Level 3'!H46</f>
        <v>0</v>
      </c>
      <c r="G46" s="318">
        <f t="shared" si="17"/>
        <v>0</v>
      </c>
      <c r="H46" s="318">
        <f t="shared" si="13"/>
        <v>0</v>
      </c>
      <c r="I46" s="316">
        <f>IF(F46&lt;0,0,'Table 3 Levels 1&amp;2'!C48)</f>
        <v>1411</v>
      </c>
      <c r="J46" s="314">
        <f t="shared" si="18"/>
        <v>69535</v>
      </c>
      <c r="K46" s="115">
        <v>0</v>
      </c>
      <c r="L46" s="1245">
        <f t="shared" si="14"/>
        <v>0</v>
      </c>
      <c r="M46" s="316">
        <f>'Table 3 Levels 1&amp;2'!C48</f>
        <v>1411</v>
      </c>
      <c r="N46" s="314">
        <f t="shared" si="19"/>
        <v>141100</v>
      </c>
      <c r="O46" s="314">
        <f t="shared" si="15"/>
        <v>210635</v>
      </c>
      <c r="P46" s="311">
        <v>886.22</v>
      </c>
      <c r="Q46" s="314">
        <f>'2-1-13 SIS'!S47*'Table 4 Level 3'!P46</f>
        <v>1250456.42</v>
      </c>
      <c r="R46" s="314">
        <f t="shared" si="16"/>
        <v>1461091.42</v>
      </c>
      <c r="T46" s="23"/>
      <c r="U46" s="1247"/>
      <c r="V46" s="411"/>
      <c r="W46" s="411"/>
    </row>
    <row r="47" spans="1:24">
      <c r="A47" s="99">
        <v>42</v>
      </c>
      <c r="B47" s="302" t="s">
        <v>134</v>
      </c>
      <c r="C47" s="317">
        <v>0</v>
      </c>
      <c r="D47" s="317">
        <v>0</v>
      </c>
      <c r="E47" s="317">
        <f t="shared" si="12"/>
        <v>0</v>
      </c>
      <c r="F47" s="318">
        <f>'[8]Table 4 Level 3'!F47+'[8]Table 4 Level 3'!H47</f>
        <v>0</v>
      </c>
      <c r="G47" s="318">
        <f t="shared" si="17"/>
        <v>0</v>
      </c>
      <c r="H47" s="318">
        <f t="shared" si="13"/>
        <v>0</v>
      </c>
      <c r="I47" s="316">
        <f>IF(F47&lt;0,0,'Table 3 Levels 1&amp;2'!C49)</f>
        <v>3442</v>
      </c>
      <c r="J47" s="314">
        <f t="shared" si="18"/>
        <v>169625</v>
      </c>
      <c r="K47" s="115">
        <v>0</v>
      </c>
      <c r="L47" s="1245">
        <f t="shared" si="14"/>
        <v>0</v>
      </c>
      <c r="M47" s="316">
        <f>'Table 3 Levels 1&amp;2'!C49</f>
        <v>3442</v>
      </c>
      <c r="N47" s="314">
        <f t="shared" si="19"/>
        <v>344200</v>
      </c>
      <c r="O47" s="314">
        <f t="shared" si="15"/>
        <v>513825</v>
      </c>
      <c r="P47" s="311">
        <v>534.28</v>
      </c>
      <c r="Q47" s="314">
        <f>'2-1-13 SIS'!S48*'Table 4 Level 3'!P47</f>
        <v>1838991.76</v>
      </c>
      <c r="R47" s="314">
        <f t="shared" si="16"/>
        <v>2352816.7599999998</v>
      </c>
      <c r="T47" s="23"/>
      <c r="U47" s="1247"/>
      <c r="V47" s="411"/>
      <c r="W47" s="411"/>
    </row>
    <row r="48" spans="1:24">
      <c r="A48" s="99">
        <v>43</v>
      </c>
      <c r="B48" s="302" t="s">
        <v>135</v>
      </c>
      <c r="C48" s="317">
        <v>0</v>
      </c>
      <c r="D48" s="317">
        <v>0</v>
      </c>
      <c r="E48" s="317">
        <f t="shared" si="12"/>
        <v>0</v>
      </c>
      <c r="F48" s="318">
        <f>'[8]Table 4 Level 3'!F48+'[8]Table 4 Level 3'!H48</f>
        <v>0</v>
      </c>
      <c r="G48" s="318">
        <f t="shared" si="17"/>
        <v>0</v>
      </c>
      <c r="H48" s="318">
        <f t="shared" si="13"/>
        <v>0</v>
      </c>
      <c r="I48" s="316">
        <f>IF(F48&lt;0,0,'Table 3 Levels 1&amp;2'!C50)</f>
        <v>4023</v>
      </c>
      <c r="J48" s="314">
        <f t="shared" si="18"/>
        <v>198257</v>
      </c>
      <c r="K48" s="115">
        <v>0</v>
      </c>
      <c r="L48" s="1245">
        <f t="shared" si="14"/>
        <v>0</v>
      </c>
      <c r="M48" s="316">
        <f>'Table 3 Levels 1&amp;2'!C50</f>
        <v>4023</v>
      </c>
      <c r="N48" s="314">
        <f t="shared" si="19"/>
        <v>402300</v>
      </c>
      <c r="O48" s="314">
        <f t="shared" si="15"/>
        <v>600557</v>
      </c>
      <c r="P48" s="311">
        <v>574.6099999999999</v>
      </c>
      <c r="Q48" s="314">
        <f>'2-1-13 SIS'!S49*'Table 4 Level 3'!P48</f>
        <v>2311656.0299999998</v>
      </c>
      <c r="R48" s="314">
        <f t="shared" si="16"/>
        <v>2912213.03</v>
      </c>
      <c r="T48" s="23"/>
      <c r="U48" s="1247"/>
      <c r="V48" s="411"/>
      <c r="W48" s="411"/>
    </row>
    <row r="49" spans="1:24">
      <c r="A49" s="99">
        <v>44</v>
      </c>
      <c r="B49" s="302" t="s">
        <v>136</v>
      </c>
      <c r="C49" s="317">
        <v>0</v>
      </c>
      <c r="D49" s="317">
        <v>0</v>
      </c>
      <c r="E49" s="317">
        <f t="shared" si="12"/>
        <v>0</v>
      </c>
      <c r="F49" s="318">
        <f>'[8]Table 4 Level 3'!F49+'[8]Table 4 Level 3'!H49</f>
        <v>0</v>
      </c>
      <c r="G49" s="318">
        <f t="shared" si="17"/>
        <v>0</v>
      </c>
      <c r="H49" s="318">
        <f t="shared" si="13"/>
        <v>0</v>
      </c>
      <c r="I49" s="316">
        <f>IF(F49&lt;0,0,'Table 3 Levels 1&amp;2'!C51)</f>
        <v>6380</v>
      </c>
      <c r="J49" s="314">
        <f t="shared" si="18"/>
        <v>314412</v>
      </c>
      <c r="K49" s="115">
        <v>0</v>
      </c>
      <c r="L49" s="1245">
        <f t="shared" si="14"/>
        <v>0</v>
      </c>
      <c r="M49" s="316">
        <f>'Table 3 Levels 1&amp;2'!C51</f>
        <v>6380</v>
      </c>
      <c r="N49" s="314">
        <f t="shared" si="19"/>
        <v>638000</v>
      </c>
      <c r="O49" s="314">
        <f t="shared" si="15"/>
        <v>952412</v>
      </c>
      <c r="P49" s="311">
        <v>663.16000000000008</v>
      </c>
      <c r="Q49" s="314">
        <f>'2-1-13 SIS'!S50*'Table 4 Level 3'!P49</f>
        <v>4230960.8000000007</v>
      </c>
      <c r="R49" s="314">
        <f t="shared" si="16"/>
        <v>5183372.8000000007</v>
      </c>
      <c r="T49" s="23"/>
      <c r="U49" s="1247"/>
      <c r="V49" s="411"/>
      <c r="W49" s="411"/>
    </row>
    <row r="50" spans="1:24">
      <c r="A50" s="100">
        <v>45</v>
      </c>
      <c r="B50" s="303" t="s">
        <v>137</v>
      </c>
      <c r="C50" s="323">
        <v>9520260</v>
      </c>
      <c r="D50" s="323">
        <v>2883682</v>
      </c>
      <c r="E50" s="323">
        <f t="shared" si="12"/>
        <v>6636578</v>
      </c>
      <c r="F50" s="324">
        <f>'[8]Table 4 Level 3'!F50+'[8]Table 4 Level 3'!H50</f>
        <v>-4485644</v>
      </c>
      <c r="G50" s="324">
        <f t="shared" si="17"/>
        <v>2150934</v>
      </c>
      <c r="H50" s="422">
        <f t="shared" si="13"/>
        <v>-537734</v>
      </c>
      <c r="I50" s="322">
        <f>IF(F50&lt;0,0,'Table 3 Levels 1&amp;2'!C52)</f>
        <v>0</v>
      </c>
      <c r="J50" s="320">
        <f t="shared" si="18"/>
        <v>0</v>
      </c>
      <c r="K50" s="1242">
        <v>0</v>
      </c>
      <c r="L50" s="1246">
        <f t="shared" si="14"/>
        <v>0</v>
      </c>
      <c r="M50" s="322">
        <f>'Table 3 Levels 1&amp;2'!C52</f>
        <v>9478</v>
      </c>
      <c r="N50" s="320">
        <f t="shared" si="19"/>
        <v>947800</v>
      </c>
      <c r="O50" s="320">
        <f t="shared" si="15"/>
        <v>5444682</v>
      </c>
      <c r="P50" s="319">
        <v>753.96000000000015</v>
      </c>
      <c r="Q50" s="320">
        <f>'2-1-13 SIS'!S51*'Table 4 Level 3'!P50</f>
        <v>7146032.8800000018</v>
      </c>
      <c r="R50" s="320">
        <f t="shared" si="16"/>
        <v>12590714.880000003</v>
      </c>
      <c r="T50" s="23"/>
      <c r="U50" s="1247"/>
      <c r="V50" s="411"/>
      <c r="W50" s="411"/>
    </row>
    <row r="51" spans="1:24">
      <c r="A51" s="99">
        <v>46</v>
      </c>
      <c r="B51" s="302" t="s">
        <v>138</v>
      </c>
      <c r="C51" s="317">
        <v>0</v>
      </c>
      <c r="D51" s="317">
        <v>0</v>
      </c>
      <c r="E51" s="317">
        <f t="shared" si="12"/>
        <v>0</v>
      </c>
      <c r="F51" s="318">
        <f>'[8]Table 4 Level 3'!F51+'[8]Table 4 Level 3'!H51</f>
        <v>0</v>
      </c>
      <c r="G51" s="318">
        <f t="shared" si="17"/>
        <v>0</v>
      </c>
      <c r="H51" s="318">
        <f t="shared" si="13"/>
        <v>0</v>
      </c>
      <c r="I51" s="316">
        <f>IF(F51&lt;0,0,'Table 3 Levels 1&amp;2'!C53)</f>
        <v>1076</v>
      </c>
      <c r="J51" s="314">
        <f t="shared" si="18"/>
        <v>53026</v>
      </c>
      <c r="K51" s="115">
        <v>0</v>
      </c>
      <c r="L51" s="1245">
        <f t="shared" si="14"/>
        <v>0</v>
      </c>
      <c r="M51" s="316">
        <f>'Table 3 Levels 1&amp;2'!C53</f>
        <v>1076</v>
      </c>
      <c r="N51" s="314">
        <f t="shared" si="19"/>
        <v>107600</v>
      </c>
      <c r="O51" s="314">
        <f t="shared" si="15"/>
        <v>160626</v>
      </c>
      <c r="P51" s="311">
        <v>728.06</v>
      </c>
      <c r="Q51" s="314">
        <f>'2-1-13 SIS'!S52*'Table 4 Level 3'!P51</f>
        <v>783392.55999999994</v>
      </c>
      <c r="R51" s="314">
        <f t="shared" si="16"/>
        <v>944018.55999999994</v>
      </c>
      <c r="T51" s="23"/>
      <c r="U51" s="1247"/>
      <c r="V51" s="411"/>
      <c r="W51" s="411"/>
    </row>
    <row r="52" spans="1:24">
      <c r="A52" s="99">
        <v>47</v>
      </c>
      <c r="B52" s="302" t="s">
        <v>139</v>
      </c>
      <c r="C52" s="317">
        <v>1851066</v>
      </c>
      <c r="D52" s="317">
        <v>1060614</v>
      </c>
      <c r="E52" s="317">
        <f t="shared" si="12"/>
        <v>790452</v>
      </c>
      <c r="F52" s="318">
        <f>'[8]Table 4 Level 3'!F52+'[8]Table 4 Level 3'!H52</f>
        <v>-474270</v>
      </c>
      <c r="G52" s="318">
        <f t="shared" si="17"/>
        <v>316182</v>
      </c>
      <c r="H52" s="318">
        <f t="shared" si="13"/>
        <v>-79046</v>
      </c>
      <c r="I52" s="316">
        <f>IF(F52&lt;0,0,'Table 3 Levels 1&amp;2'!C54)</f>
        <v>0</v>
      </c>
      <c r="J52" s="314">
        <f t="shared" si="18"/>
        <v>0</v>
      </c>
      <c r="K52" s="115">
        <v>0</v>
      </c>
      <c r="L52" s="1245">
        <f t="shared" si="14"/>
        <v>0</v>
      </c>
      <c r="M52" s="316">
        <f>'Table 3 Levels 1&amp;2'!C54</f>
        <v>3621</v>
      </c>
      <c r="N52" s="314">
        <f t="shared" si="19"/>
        <v>362100</v>
      </c>
      <c r="O52" s="314">
        <f t="shared" si="15"/>
        <v>1659850</v>
      </c>
      <c r="P52" s="311">
        <v>910.76</v>
      </c>
      <c r="Q52" s="314">
        <f>'2-1-13 SIS'!S53*'Table 4 Level 3'!P52</f>
        <v>3297861.96</v>
      </c>
      <c r="R52" s="314">
        <f t="shared" si="16"/>
        <v>4957711.96</v>
      </c>
      <c r="T52" s="23"/>
      <c r="U52" s="1247"/>
      <c r="V52" s="411"/>
      <c r="W52" s="411"/>
    </row>
    <row r="53" spans="1:24">
      <c r="A53" s="99">
        <v>48</v>
      </c>
      <c r="B53" s="302" t="s">
        <v>197</v>
      </c>
      <c r="C53" s="317">
        <v>0</v>
      </c>
      <c r="D53" s="317">
        <v>0</v>
      </c>
      <c r="E53" s="317">
        <f t="shared" si="12"/>
        <v>0</v>
      </c>
      <c r="F53" s="318">
        <f>'[8]Table 4 Level 3'!F53+'[8]Table 4 Level 3'!H53</f>
        <v>0</v>
      </c>
      <c r="G53" s="318">
        <f t="shared" si="17"/>
        <v>0</v>
      </c>
      <c r="H53" s="318">
        <f t="shared" si="13"/>
        <v>0</v>
      </c>
      <c r="I53" s="316">
        <f>IF(F53&lt;0,0,'Table 3 Levels 1&amp;2'!C55)</f>
        <v>5804</v>
      </c>
      <c r="J53" s="314">
        <f t="shared" si="18"/>
        <v>286026</v>
      </c>
      <c r="K53" s="115">
        <v>0</v>
      </c>
      <c r="L53" s="1245">
        <f t="shared" si="14"/>
        <v>0</v>
      </c>
      <c r="M53" s="316">
        <f>'Table 3 Levels 1&amp;2'!C55</f>
        <v>5804</v>
      </c>
      <c r="N53" s="314">
        <f t="shared" si="19"/>
        <v>580400</v>
      </c>
      <c r="O53" s="314">
        <f t="shared" si="15"/>
        <v>866426</v>
      </c>
      <c r="P53" s="311">
        <v>871.07</v>
      </c>
      <c r="Q53" s="314">
        <f>'2-1-13 SIS'!S54*'Table 4 Level 3'!P53</f>
        <v>5055690.28</v>
      </c>
      <c r="R53" s="314">
        <f t="shared" si="16"/>
        <v>5922116.2800000003</v>
      </c>
      <c r="T53" s="23"/>
      <c r="U53" s="1247"/>
      <c r="V53" s="411"/>
      <c r="W53" s="411"/>
    </row>
    <row r="54" spans="1:24">
      <c r="A54" s="99">
        <v>49</v>
      </c>
      <c r="B54" s="302" t="s">
        <v>140</v>
      </c>
      <c r="C54" s="317">
        <v>0</v>
      </c>
      <c r="D54" s="317">
        <v>0</v>
      </c>
      <c r="E54" s="317">
        <f t="shared" si="12"/>
        <v>0</v>
      </c>
      <c r="F54" s="318">
        <f>'[8]Table 4 Level 3'!F54+'[8]Table 4 Level 3'!H54</f>
        <v>0</v>
      </c>
      <c r="G54" s="318">
        <f t="shared" si="17"/>
        <v>0</v>
      </c>
      <c r="H54" s="318">
        <f t="shared" si="13"/>
        <v>0</v>
      </c>
      <c r="I54" s="316">
        <f>IF(F54&lt;0,0,'Table 3 Levels 1&amp;2'!C56)</f>
        <v>14494</v>
      </c>
      <c r="J54" s="314">
        <f t="shared" si="18"/>
        <v>714277</v>
      </c>
      <c r="K54" s="115">
        <v>4</v>
      </c>
      <c r="L54" s="1245">
        <f t="shared" si="14"/>
        <v>80000</v>
      </c>
      <c r="M54" s="316">
        <f>'Table 3 Levels 1&amp;2'!C56</f>
        <v>14494</v>
      </c>
      <c r="N54" s="314">
        <f t="shared" si="19"/>
        <v>1449400</v>
      </c>
      <c r="O54" s="314">
        <f t="shared" si="15"/>
        <v>2243677</v>
      </c>
      <c r="P54" s="311">
        <v>574.43999999999994</v>
      </c>
      <c r="Q54" s="314">
        <f>'2-1-13 SIS'!S55*'Table 4 Level 3'!P54</f>
        <v>8325933.3599999994</v>
      </c>
      <c r="R54" s="314">
        <f t="shared" si="16"/>
        <v>10569610.359999999</v>
      </c>
      <c r="T54" s="23"/>
      <c r="U54" s="1247"/>
      <c r="V54" s="411"/>
      <c r="W54" s="411"/>
    </row>
    <row r="55" spans="1:24">
      <c r="A55" s="100">
        <v>50</v>
      </c>
      <c r="B55" s="303" t="s">
        <v>141</v>
      </c>
      <c r="C55" s="323">
        <v>0</v>
      </c>
      <c r="D55" s="323">
        <v>0</v>
      </c>
      <c r="E55" s="323">
        <f t="shared" si="12"/>
        <v>0</v>
      </c>
      <c r="F55" s="324">
        <f>'[8]Table 4 Level 3'!F55+'[8]Table 4 Level 3'!H55</f>
        <v>0</v>
      </c>
      <c r="G55" s="324">
        <f t="shared" si="17"/>
        <v>0</v>
      </c>
      <c r="H55" s="324">
        <f t="shared" si="13"/>
        <v>0</v>
      </c>
      <c r="I55" s="322">
        <f>IF(F55&lt;0,0,'Table 3 Levels 1&amp;2'!C57)</f>
        <v>7887</v>
      </c>
      <c r="J55" s="320">
        <f t="shared" si="18"/>
        <v>388678</v>
      </c>
      <c r="K55" s="1242">
        <v>9</v>
      </c>
      <c r="L55" s="1246">
        <f t="shared" si="14"/>
        <v>180000</v>
      </c>
      <c r="M55" s="322">
        <f>'Table 3 Levels 1&amp;2'!C57</f>
        <v>7887</v>
      </c>
      <c r="N55" s="320">
        <f t="shared" si="19"/>
        <v>788700</v>
      </c>
      <c r="O55" s="320">
        <f t="shared" si="15"/>
        <v>1357378</v>
      </c>
      <c r="P55" s="319">
        <v>634.46</v>
      </c>
      <c r="Q55" s="320">
        <f>'2-1-13 SIS'!S56*'Table 4 Level 3'!P55</f>
        <v>5003986.0200000005</v>
      </c>
      <c r="R55" s="320">
        <f t="shared" si="16"/>
        <v>6361364.0200000005</v>
      </c>
      <c r="T55" s="23"/>
      <c r="U55" s="1247"/>
      <c r="V55" s="411"/>
      <c r="W55" s="411"/>
    </row>
    <row r="56" spans="1:24">
      <c r="A56" s="99">
        <v>51</v>
      </c>
      <c r="B56" s="302" t="s">
        <v>142</v>
      </c>
      <c r="C56" s="317">
        <v>0</v>
      </c>
      <c r="D56" s="317">
        <v>0</v>
      </c>
      <c r="E56" s="317">
        <f t="shared" si="12"/>
        <v>0</v>
      </c>
      <c r="F56" s="318">
        <f>'[8]Table 4 Level 3'!F56+'[8]Table 4 Level 3'!H56</f>
        <v>0</v>
      </c>
      <c r="G56" s="318">
        <f t="shared" si="17"/>
        <v>0</v>
      </c>
      <c r="H56" s="318">
        <f t="shared" si="13"/>
        <v>0</v>
      </c>
      <c r="I56" s="316">
        <f>IF(F56&lt;0,0,'Table 3 Levels 1&amp;2'!C58)</f>
        <v>8997</v>
      </c>
      <c r="J56" s="314">
        <f t="shared" si="18"/>
        <v>443380</v>
      </c>
      <c r="K56" s="115">
        <v>0</v>
      </c>
      <c r="L56" s="1245">
        <f t="shared" si="14"/>
        <v>0</v>
      </c>
      <c r="M56" s="316">
        <f>'Table 3 Levels 1&amp;2'!C58</f>
        <v>8997</v>
      </c>
      <c r="N56" s="314">
        <f t="shared" si="19"/>
        <v>899700</v>
      </c>
      <c r="O56" s="314">
        <f t="shared" si="15"/>
        <v>1343080</v>
      </c>
      <c r="P56" s="311">
        <v>706.66</v>
      </c>
      <c r="Q56" s="314">
        <f>'2-1-13 SIS'!S57*'Table 4 Level 3'!P56</f>
        <v>6357820.0199999996</v>
      </c>
      <c r="R56" s="314">
        <f t="shared" si="16"/>
        <v>7700900.0199999996</v>
      </c>
      <c r="T56" s="23"/>
      <c r="U56" s="1247"/>
      <c r="V56" s="411"/>
      <c r="W56" s="411"/>
    </row>
    <row r="57" spans="1:24">
      <c r="A57" s="99">
        <v>52</v>
      </c>
      <c r="B57" s="302" t="s">
        <v>143</v>
      </c>
      <c r="C57" s="317">
        <v>0</v>
      </c>
      <c r="D57" s="317">
        <v>0</v>
      </c>
      <c r="E57" s="317">
        <f t="shared" si="12"/>
        <v>0</v>
      </c>
      <c r="F57" s="318">
        <f>'[8]Table 4 Level 3'!F57+'[8]Table 4 Level 3'!H57</f>
        <v>0</v>
      </c>
      <c r="G57" s="318">
        <f t="shared" si="17"/>
        <v>0</v>
      </c>
      <c r="H57" s="318">
        <f t="shared" si="13"/>
        <v>0</v>
      </c>
      <c r="I57" s="316">
        <f>IF(F57&lt;0,0,'Table 3 Levels 1&amp;2'!C59)</f>
        <v>37078</v>
      </c>
      <c r="J57" s="314">
        <f t="shared" si="18"/>
        <v>1827237</v>
      </c>
      <c r="K57" s="115">
        <v>0</v>
      </c>
      <c r="L57" s="1245">
        <f t="shared" si="14"/>
        <v>0</v>
      </c>
      <c r="M57" s="316">
        <f>'Table 3 Levels 1&amp;2'!C59</f>
        <v>37078</v>
      </c>
      <c r="N57" s="314">
        <f t="shared" si="19"/>
        <v>3707800</v>
      </c>
      <c r="O57" s="314">
        <f t="shared" si="15"/>
        <v>5535037</v>
      </c>
      <c r="P57" s="311">
        <v>658.37</v>
      </c>
      <c r="Q57" s="314">
        <f>'2-1-13 SIS'!S58*'Table 4 Level 3'!P57</f>
        <v>24411042.859999999</v>
      </c>
      <c r="R57" s="314">
        <f t="shared" si="16"/>
        <v>29946079.859999999</v>
      </c>
      <c r="T57" s="23"/>
      <c r="U57" s="1247"/>
      <c r="V57" s="411"/>
      <c r="W57" s="411"/>
    </row>
    <row r="58" spans="1:24">
      <c r="A58" s="99">
        <v>53</v>
      </c>
      <c r="B58" s="302" t="s">
        <v>144</v>
      </c>
      <c r="C58" s="317">
        <v>0</v>
      </c>
      <c r="D58" s="317">
        <v>0</v>
      </c>
      <c r="E58" s="317">
        <f t="shared" si="12"/>
        <v>0</v>
      </c>
      <c r="F58" s="318">
        <f>'[8]Table 4 Level 3'!F58+'[8]Table 4 Level 3'!H58</f>
        <v>0</v>
      </c>
      <c r="G58" s="318">
        <f t="shared" si="17"/>
        <v>0</v>
      </c>
      <c r="H58" s="318">
        <f t="shared" si="13"/>
        <v>0</v>
      </c>
      <c r="I58" s="316">
        <f>IF(F58&lt;0,0,'Table 3 Levels 1&amp;2'!C60)</f>
        <v>19145</v>
      </c>
      <c r="J58" s="314">
        <f t="shared" si="18"/>
        <v>943483</v>
      </c>
      <c r="K58" s="115">
        <v>3</v>
      </c>
      <c r="L58" s="1245">
        <f t="shared" si="14"/>
        <v>60000</v>
      </c>
      <c r="M58" s="316">
        <f>'Table 3 Levels 1&amp;2'!C60</f>
        <v>19145</v>
      </c>
      <c r="N58" s="314">
        <f t="shared" si="19"/>
        <v>1914500</v>
      </c>
      <c r="O58" s="314">
        <f t="shared" si="15"/>
        <v>2917983</v>
      </c>
      <c r="P58" s="311">
        <v>689.74</v>
      </c>
      <c r="Q58" s="314">
        <f>'2-1-13 SIS'!S59*'Table 4 Level 3'!P58</f>
        <v>13205072.300000001</v>
      </c>
      <c r="R58" s="314">
        <f t="shared" si="16"/>
        <v>16123055.300000001</v>
      </c>
      <c r="T58" s="23"/>
      <c r="U58" s="1247"/>
      <c r="V58" s="411"/>
      <c r="W58" s="411"/>
    </row>
    <row r="59" spans="1:24">
      <c r="A59" s="99">
        <v>54</v>
      </c>
      <c r="B59" s="302" t="s">
        <v>145</v>
      </c>
      <c r="C59" s="317">
        <v>0</v>
      </c>
      <c r="D59" s="317">
        <v>0</v>
      </c>
      <c r="E59" s="317">
        <f t="shared" si="12"/>
        <v>0</v>
      </c>
      <c r="F59" s="318">
        <f>'[8]Table 4 Level 3'!F59+'[8]Table 4 Level 3'!H59</f>
        <v>0</v>
      </c>
      <c r="G59" s="318">
        <f t="shared" si="17"/>
        <v>0</v>
      </c>
      <c r="H59" s="318">
        <f t="shared" si="13"/>
        <v>0</v>
      </c>
      <c r="I59" s="316">
        <f>IF(F59&lt;0,0,'Table 3 Levels 1&amp;2'!C61)</f>
        <v>682</v>
      </c>
      <c r="J59" s="314">
        <f t="shared" si="18"/>
        <v>33610</v>
      </c>
      <c r="K59" s="115">
        <v>0</v>
      </c>
      <c r="L59" s="1245">
        <f t="shared" si="14"/>
        <v>0</v>
      </c>
      <c r="M59" s="316">
        <f>'Table 3 Levels 1&amp;2'!C61</f>
        <v>682</v>
      </c>
      <c r="N59" s="314">
        <f t="shared" si="19"/>
        <v>68200</v>
      </c>
      <c r="O59" s="314">
        <f t="shared" si="15"/>
        <v>101810</v>
      </c>
      <c r="P59" s="311">
        <v>951.45</v>
      </c>
      <c r="Q59" s="314">
        <f>'2-1-13 SIS'!S60*'Table 4 Level 3'!P59</f>
        <v>648888.9</v>
      </c>
      <c r="R59" s="314">
        <f t="shared" si="16"/>
        <v>750698.9</v>
      </c>
      <c r="T59" s="23"/>
      <c r="U59" s="1247"/>
      <c r="V59" s="411"/>
      <c r="W59" s="411"/>
    </row>
    <row r="60" spans="1:24">
      <c r="A60" s="100">
        <v>55</v>
      </c>
      <c r="B60" s="303" t="s">
        <v>146</v>
      </c>
      <c r="C60" s="323">
        <v>0</v>
      </c>
      <c r="D60" s="323">
        <v>0</v>
      </c>
      <c r="E60" s="323">
        <f t="shared" si="12"/>
        <v>0</v>
      </c>
      <c r="F60" s="324">
        <f>'[8]Table 4 Level 3'!F60+'[8]Table 4 Level 3'!H60</f>
        <v>0</v>
      </c>
      <c r="G60" s="324">
        <f t="shared" si="17"/>
        <v>0</v>
      </c>
      <c r="H60" s="324">
        <f t="shared" si="13"/>
        <v>0</v>
      </c>
      <c r="I60" s="322">
        <f>IF(F60&lt;0,0,'Table 3 Levels 1&amp;2'!C62)</f>
        <v>17756</v>
      </c>
      <c r="J60" s="320">
        <f t="shared" si="18"/>
        <v>875031</v>
      </c>
      <c r="K60" s="1242">
        <v>0</v>
      </c>
      <c r="L60" s="1246">
        <f t="shared" si="14"/>
        <v>0</v>
      </c>
      <c r="M60" s="322">
        <f>'Table 3 Levels 1&amp;2'!C62</f>
        <v>17756</v>
      </c>
      <c r="N60" s="320">
        <f t="shared" si="19"/>
        <v>1775600</v>
      </c>
      <c r="O60" s="320">
        <f t="shared" si="15"/>
        <v>2650631</v>
      </c>
      <c r="P60" s="319">
        <v>795.14</v>
      </c>
      <c r="Q60" s="320">
        <f>'2-1-13 SIS'!S61*'Table 4 Level 3'!P60</f>
        <v>14118505.84</v>
      </c>
      <c r="R60" s="320">
        <f t="shared" si="16"/>
        <v>16769136.84</v>
      </c>
      <c r="T60" s="23"/>
      <c r="U60" s="1247"/>
      <c r="V60" s="411"/>
      <c r="W60" s="411"/>
    </row>
    <row r="61" spans="1:24">
      <c r="A61" s="99">
        <v>56</v>
      </c>
      <c r="B61" s="302" t="s">
        <v>147</v>
      </c>
      <c r="C61" s="317">
        <v>0</v>
      </c>
      <c r="D61" s="317">
        <v>0</v>
      </c>
      <c r="E61" s="317">
        <f t="shared" si="12"/>
        <v>0</v>
      </c>
      <c r="F61" s="318">
        <f>'[8]Table 4 Level 3'!F61+'[8]Table 4 Level 3'!H61</f>
        <v>0</v>
      </c>
      <c r="G61" s="318">
        <f t="shared" si="17"/>
        <v>0</v>
      </c>
      <c r="H61" s="318">
        <f t="shared" si="13"/>
        <v>0</v>
      </c>
      <c r="I61" s="316">
        <f>IF(F61&lt;0,0,'Table 3 Levels 1&amp;2'!C63)</f>
        <v>2860</v>
      </c>
      <c r="J61" s="314">
        <f t="shared" si="18"/>
        <v>140943</v>
      </c>
      <c r="K61" s="115">
        <v>0</v>
      </c>
      <c r="L61" s="1245">
        <f t="shared" si="14"/>
        <v>0</v>
      </c>
      <c r="M61" s="316">
        <f>'Table 3 Levels 1&amp;2'!C63</f>
        <v>2860</v>
      </c>
      <c r="N61" s="314">
        <f t="shared" si="19"/>
        <v>286000</v>
      </c>
      <c r="O61" s="314">
        <f t="shared" si="15"/>
        <v>426943</v>
      </c>
      <c r="P61" s="311">
        <v>614.66000000000008</v>
      </c>
      <c r="Q61" s="1205">
        <f>('2-1-13 SIS'!S62+1)*'Table 4 Level 3'!P61</f>
        <v>1757927.6000000003</v>
      </c>
      <c r="R61" s="314">
        <f t="shared" si="16"/>
        <v>2184870.6000000006</v>
      </c>
      <c r="T61" s="23"/>
      <c r="U61" s="1247"/>
      <c r="V61" s="411"/>
      <c r="W61" s="411"/>
      <c r="X61" s="796"/>
    </row>
    <row r="62" spans="1:24">
      <c r="A62" s="99">
        <v>57</v>
      </c>
      <c r="B62" s="302" t="s">
        <v>148</v>
      </c>
      <c r="C62" s="317">
        <v>0</v>
      </c>
      <c r="D62" s="317">
        <v>0</v>
      </c>
      <c r="E62" s="317">
        <f t="shared" si="12"/>
        <v>0</v>
      </c>
      <c r="F62" s="318">
        <f>'[8]Table 4 Level 3'!F62+'[8]Table 4 Level 3'!H62</f>
        <v>0</v>
      </c>
      <c r="G62" s="318">
        <f t="shared" si="17"/>
        <v>0</v>
      </c>
      <c r="H62" s="318">
        <f t="shared" si="13"/>
        <v>0</v>
      </c>
      <c r="I62" s="316">
        <f>IF(F62&lt;0,0,'Table 3 Levels 1&amp;2'!C64)</f>
        <v>9047</v>
      </c>
      <c r="J62" s="314">
        <f t="shared" si="18"/>
        <v>445844</v>
      </c>
      <c r="K62" s="115">
        <v>0</v>
      </c>
      <c r="L62" s="1245">
        <f t="shared" si="14"/>
        <v>0</v>
      </c>
      <c r="M62" s="316">
        <f>'Table 3 Levels 1&amp;2'!C64</f>
        <v>9047</v>
      </c>
      <c r="N62" s="314">
        <f t="shared" si="19"/>
        <v>904700</v>
      </c>
      <c r="O62" s="314">
        <f t="shared" si="15"/>
        <v>1350544</v>
      </c>
      <c r="P62" s="311">
        <v>764.51</v>
      </c>
      <c r="Q62" s="314">
        <f>'2-1-13 SIS'!S63*'Table 4 Level 3'!P62</f>
        <v>6916521.9699999997</v>
      </c>
      <c r="R62" s="314">
        <f t="shared" si="16"/>
        <v>8267065.9699999997</v>
      </c>
      <c r="T62" s="23"/>
      <c r="U62" s="1247"/>
      <c r="V62" s="411"/>
      <c r="W62" s="411"/>
    </row>
    <row r="63" spans="1:24">
      <c r="A63" s="99">
        <v>58</v>
      </c>
      <c r="B63" s="302" t="s">
        <v>149</v>
      </c>
      <c r="C63" s="317">
        <v>0</v>
      </c>
      <c r="D63" s="317">
        <v>0</v>
      </c>
      <c r="E63" s="317">
        <f t="shared" si="12"/>
        <v>0</v>
      </c>
      <c r="F63" s="318">
        <f>'[8]Table 4 Level 3'!F63+'[8]Table 4 Level 3'!H63</f>
        <v>0</v>
      </c>
      <c r="G63" s="318">
        <f t="shared" si="17"/>
        <v>0</v>
      </c>
      <c r="H63" s="318">
        <f t="shared" si="13"/>
        <v>0</v>
      </c>
      <c r="I63" s="316">
        <f>IF(F63&lt;0,0,'Table 3 Levels 1&amp;2'!C65)</f>
        <v>9090</v>
      </c>
      <c r="J63" s="314">
        <f t="shared" si="18"/>
        <v>447963</v>
      </c>
      <c r="K63" s="115">
        <v>0</v>
      </c>
      <c r="L63" s="1245">
        <f t="shared" si="14"/>
        <v>0</v>
      </c>
      <c r="M63" s="316">
        <f>'Table 3 Levels 1&amp;2'!C65</f>
        <v>9090</v>
      </c>
      <c r="N63" s="314">
        <f t="shared" si="19"/>
        <v>909000</v>
      </c>
      <c r="O63" s="314">
        <f t="shared" si="15"/>
        <v>1356963</v>
      </c>
      <c r="P63" s="311">
        <v>697.04</v>
      </c>
      <c r="Q63" s="314">
        <f>'2-1-13 SIS'!S64*'Table 4 Level 3'!P63</f>
        <v>6336093.5999999996</v>
      </c>
      <c r="R63" s="314">
        <f t="shared" si="16"/>
        <v>7693056.5999999996</v>
      </c>
      <c r="T63" s="23"/>
      <c r="U63" s="1247"/>
      <c r="V63" s="411"/>
      <c r="W63" s="411"/>
    </row>
    <row r="64" spans="1:24">
      <c r="A64" s="99">
        <v>59</v>
      </c>
      <c r="B64" s="302" t="s">
        <v>150</v>
      </c>
      <c r="C64" s="317">
        <v>0</v>
      </c>
      <c r="D64" s="317">
        <v>0</v>
      </c>
      <c r="E64" s="317">
        <f t="shared" si="12"/>
        <v>0</v>
      </c>
      <c r="F64" s="318">
        <f>'[8]Table 4 Level 3'!F64+'[8]Table 4 Level 3'!H64</f>
        <v>0</v>
      </c>
      <c r="G64" s="318">
        <f t="shared" si="17"/>
        <v>0</v>
      </c>
      <c r="H64" s="318">
        <f t="shared" si="13"/>
        <v>0</v>
      </c>
      <c r="I64" s="316">
        <f>IF(F64&lt;0,0,'Table 3 Levels 1&amp;2'!C66)</f>
        <v>5247</v>
      </c>
      <c r="J64" s="314">
        <f t="shared" si="18"/>
        <v>258577</v>
      </c>
      <c r="K64" s="115">
        <v>0</v>
      </c>
      <c r="L64" s="1245">
        <f t="shared" si="14"/>
        <v>0</v>
      </c>
      <c r="M64" s="316">
        <f>'Table 3 Levels 1&amp;2'!C66</f>
        <v>5247</v>
      </c>
      <c r="N64" s="314">
        <f t="shared" si="19"/>
        <v>524700</v>
      </c>
      <c r="O64" s="314">
        <f t="shared" si="15"/>
        <v>783277</v>
      </c>
      <c r="P64" s="311">
        <v>689.52</v>
      </c>
      <c r="Q64" s="314">
        <f>'2-1-13 SIS'!S65*'Table 4 Level 3'!P64</f>
        <v>3617911.44</v>
      </c>
      <c r="R64" s="314">
        <f t="shared" si="16"/>
        <v>4401188.4399999995</v>
      </c>
      <c r="T64" s="23"/>
      <c r="U64" s="1247"/>
      <c r="V64" s="411"/>
      <c r="W64" s="411"/>
    </row>
    <row r="65" spans="1:23">
      <c r="A65" s="100">
        <v>60</v>
      </c>
      <c r="B65" s="303" t="s">
        <v>151</v>
      </c>
      <c r="C65" s="323">
        <v>0</v>
      </c>
      <c r="D65" s="323">
        <v>0</v>
      </c>
      <c r="E65" s="323">
        <f t="shared" si="12"/>
        <v>0</v>
      </c>
      <c r="F65" s="324">
        <f>'[8]Table 4 Level 3'!F65+'[8]Table 4 Level 3'!H65</f>
        <v>0</v>
      </c>
      <c r="G65" s="324">
        <f t="shared" si="17"/>
        <v>0</v>
      </c>
      <c r="H65" s="324">
        <f t="shared" si="13"/>
        <v>0</v>
      </c>
      <c r="I65" s="322">
        <f>IF(F65&lt;0,0,'Table 3 Levels 1&amp;2'!C67)</f>
        <v>6493</v>
      </c>
      <c r="J65" s="320">
        <f t="shared" si="18"/>
        <v>319981</v>
      </c>
      <c r="K65" s="1242">
        <v>0</v>
      </c>
      <c r="L65" s="1246">
        <f t="shared" si="14"/>
        <v>0</v>
      </c>
      <c r="M65" s="322">
        <f>'Table 3 Levels 1&amp;2'!C67</f>
        <v>6493</v>
      </c>
      <c r="N65" s="320">
        <f t="shared" si="19"/>
        <v>649300</v>
      </c>
      <c r="O65" s="320">
        <f t="shared" si="15"/>
        <v>969281</v>
      </c>
      <c r="P65" s="319">
        <v>594.04</v>
      </c>
      <c r="Q65" s="320">
        <f>'2-1-13 SIS'!S66*'Table 4 Level 3'!P65</f>
        <v>3857101.7199999997</v>
      </c>
      <c r="R65" s="320">
        <f t="shared" si="16"/>
        <v>4826382.72</v>
      </c>
      <c r="T65" s="23"/>
      <c r="U65" s="1247"/>
      <c r="V65" s="411"/>
      <c r="W65" s="411"/>
    </row>
    <row r="66" spans="1:23">
      <c r="A66" s="99">
        <v>61</v>
      </c>
      <c r="B66" s="302" t="s">
        <v>152</v>
      </c>
      <c r="C66" s="317">
        <v>0</v>
      </c>
      <c r="D66" s="317">
        <v>0</v>
      </c>
      <c r="E66" s="317">
        <f t="shared" si="12"/>
        <v>0</v>
      </c>
      <c r="F66" s="318">
        <f>'[8]Table 4 Level 3'!F66+'[8]Table 4 Level 3'!H66</f>
        <v>0</v>
      </c>
      <c r="G66" s="318">
        <f t="shared" si="17"/>
        <v>0</v>
      </c>
      <c r="H66" s="318">
        <f t="shared" si="13"/>
        <v>0</v>
      </c>
      <c r="I66" s="316">
        <f>IF(F66&lt;0,0,'Table 3 Levels 1&amp;2'!C68)</f>
        <v>3620</v>
      </c>
      <c r="J66" s="314">
        <f t="shared" si="18"/>
        <v>178397</v>
      </c>
      <c r="K66" s="115">
        <v>0</v>
      </c>
      <c r="L66" s="1245">
        <f t="shared" si="14"/>
        <v>0</v>
      </c>
      <c r="M66" s="316">
        <f>'Table 3 Levels 1&amp;2'!C68</f>
        <v>3620</v>
      </c>
      <c r="N66" s="314">
        <f t="shared" si="19"/>
        <v>362000</v>
      </c>
      <c r="O66" s="314">
        <f t="shared" si="15"/>
        <v>540397</v>
      </c>
      <c r="P66" s="311">
        <v>833.70999999999992</v>
      </c>
      <c r="Q66" s="314">
        <f>'2-1-13 SIS'!S67*'Table 4 Level 3'!P66</f>
        <v>3018030.1999999997</v>
      </c>
      <c r="R66" s="314">
        <f t="shared" si="16"/>
        <v>3558427.1999999997</v>
      </c>
      <c r="T66" s="23"/>
      <c r="U66" s="1247"/>
      <c r="V66" s="411"/>
      <c r="W66" s="411"/>
    </row>
    <row r="67" spans="1:23">
      <c r="A67" s="99">
        <v>62</v>
      </c>
      <c r="B67" s="302" t="s">
        <v>153</v>
      </c>
      <c r="C67" s="317">
        <v>0</v>
      </c>
      <c r="D67" s="317">
        <v>0</v>
      </c>
      <c r="E67" s="317">
        <f t="shared" si="12"/>
        <v>0</v>
      </c>
      <c r="F67" s="318">
        <f>'[8]Table 4 Level 3'!F67+'[8]Table 4 Level 3'!H67</f>
        <v>0</v>
      </c>
      <c r="G67" s="318">
        <f t="shared" si="17"/>
        <v>0</v>
      </c>
      <c r="H67" s="318">
        <f t="shared" si="13"/>
        <v>0</v>
      </c>
      <c r="I67" s="316">
        <f>IF(F67&lt;0,0,'Table 3 Levels 1&amp;2'!C69)</f>
        <v>2105</v>
      </c>
      <c r="J67" s="314">
        <f t="shared" si="18"/>
        <v>103736</v>
      </c>
      <c r="K67" s="115">
        <v>0</v>
      </c>
      <c r="L67" s="1245">
        <f t="shared" si="14"/>
        <v>0</v>
      </c>
      <c r="M67" s="316">
        <f>'Table 3 Levels 1&amp;2'!C69</f>
        <v>2105</v>
      </c>
      <c r="N67" s="314">
        <f t="shared" si="19"/>
        <v>210500</v>
      </c>
      <c r="O67" s="314">
        <f t="shared" si="15"/>
        <v>314236</v>
      </c>
      <c r="P67" s="311">
        <v>516.08000000000004</v>
      </c>
      <c r="Q67" s="314">
        <f>'2-1-13 SIS'!S68*'Table 4 Level 3'!P67</f>
        <v>1086348.4000000001</v>
      </c>
      <c r="R67" s="314">
        <f t="shared" si="16"/>
        <v>1400584.4000000001</v>
      </c>
      <c r="T67" s="23"/>
      <c r="U67" s="1247"/>
      <c r="V67" s="411"/>
      <c r="W67" s="411"/>
    </row>
    <row r="68" spans="1:23">
      <c r="A68" s="99">
        <v>63</v>
      </c>
      <c r="B68" s="302" t="s">
        <v>154</v>
      </c>
      <c r="C68" s="317">
        <v>5908357</v>
      </c>
      <c r="D68" s="317">
        <v>680156</v>
      </c>
      <c r="E68" s="317">
        <f t="shared" si="12"/>
        <v>5228201</v>
      </c>
      <c r="F68" s="318">
        <f>'[8]Table 4 Level 3'!F68+'[8]Table 4 Level 3'!H68</f>
        <v>-3136920</v>
      </c>
      <c r="G68" s="318">
        <f t="shared" si="17"/>
        <v>2091281</v>
      </c>
      <c r="H68" s="318">
        <f t="shared" si="13"/>
        <v>-522820</v>
      </c>
      <c r="I68" s="316">
        <f>IF(F68&lt;0,0,'Table 3 Levels 1&amp;2'!C70)</f>
        <v>0</v>
      </c>
      <c r="J68" s="314">
        <f t="shared" si="18"/>
        <v>0</v>
      </c>
      <c r="K68" s="115">
        <v>0</v>
      </c>
      <c r="L68" s="1245">
        <f t="shared" si="14"/>
        <v>0</v>
      </c>
      <c r="M68" s="316">
        <f>'Table 3 Levels 1&amp;2'!C70</f>
        <v>2038</v>
      </c>
      <c r="N68" s="314">
        <f t="shared" si="19"/>
        <v>203800</v>
      </c>
      <c r="O68" s="314">
        <f t="shared" si="15"/>
        <v>2452417</v>
      </c>
      <c r="P68" s="311">
        <v>756.79</v>
      </c>
      <c r="Q68" s="314">
        <f>'2-1-13 SIS'!S69*'Table 4 Level 3'!P68</f>
        <v>1542338.02</v>
      </c>
      <c r="R68" s="314">
        <f t="shared" si="16"/>
        <v>3994755.02</v>
      </c>
      <c r="T68" s="23"/>
      <c r="U68" s="1247"/>
      <c r="V68" s="411"/>
      <c r="W68" s="411"/>
    </row>
    <row r="69" spans="1:23">
      <c r="A69" s="99">
        <v>64</v>
      </c>
      <c r="B69" s="302" t="s">
        <v>155</v>
      </c>
      <c r="C69" s="317">
        <v>0</v>
      </c>
      <c r="D69" s="317">
        <v>0</v>
      </c>
      <c r="E69" s="317">
        <f t="shared" si="12"/>
        <v>0</v>
      </c>
      <c r="F69" s="318">
        <f>'[8]Table 4 Level 3'!F69+'[8]Table 4 Level 3'!H69</f>
        <v>0</v>
      </c>
      <c r="G69" s="318">
        <f t="shared" si="17"/>
        <v>0</v>
      </c>
      <c r="H69" s="318">
        <f t="shared" si="13"/>
        <v>0</v>
      </c>
      <c r="I69" s="316">
        <f>IF(F69&lt;0,0,'Table 3 Levels 1&amp;2'!C71)</f>
        <v>2396</v>
      </c>
      <c r="J69" s="314">
        <f t="shared" si="18"/>
        <v>118077</v>
      </c>
      <c r="K69" s="115">
        <v>0</v>
      </c>
      <c r="L69" s="1245">
        <f t="shared" si="14"/>
        <v>0</v>
      </c>
      <c r="M69" s="316">
        <f>'Table 3 Levels 1&amp;2'!C71</f>
        <v>2396</v>
      </c>
      <c r="N69" s="314">
        <f t="shared" si="19"/>
        <v>239600</v>
      </c>
      <c r="O69" s="314">
        <f t="shared" si="15"/>
        <v>357677</v>
      </c>
      <c r="P69" s="311">
        <v>592.66</v>
      </c>
      <c r="Q69" s="314">
        <f>'2-1-13 SIS'!S70*'Table 4 Level 3'!P69</f>
        <v>1420013.3599999999</v>
      </c>
      <c r="R69" s="314">
        <f t="shared" si="16"/>
        <v>1777690.3599999999</v>
      </c>
      <c r="T69" s="23"/>
      <c r="U69" s="1247"/>
      <c r="V69" s="411"/>
      <c r="W69" s="411"/>
    </row>
    <row r="70" spans="1:23">
      <c r="A70" s="100">
        <v>65</v>
      </c>
      <c r="B70" s="303" t="s">
        <v>156</v>
      </c>
      <c r="C70" s="323">
        <v>0</v>
      </c>
      <c r="D70" s="323">
        <v>0</v>
      </c>
      <c r="E70" s="323">
        <f t="shared" si="12"/>
        <v>0</v>
      </c>
      <c r="F70" s="324">
        <f>'[8]Table 4 Level 3'!F70+'[8]Table 4 Level 3'!H70</f>
        <v>0</v>
      </c>
      <c r="G70" s="324">
        <f>SUM(E70:F70)</f>
        <v>0</v>
      </c>
      <c r="H70" s="324">
        <f t="shared" si="13"/>
        <v>0</v>
      </c>
      <c r="I70" s="322">
        <f>IF(F70&lt;0,0,'Table 3 Levels 1&amp;2'!C72)</f>
        <v>8246</v>
      </c>
      <c r="J70" s="320">
        <f>ROUND($J$4*I70,0)</f>
        <v>406370</v>
      </c>
      <c r="K70" s="1242">
        <v>0</v>
      </c>
      <c r="L70" s="1246">
        <f t="shared" si="14"/>
        <v>0</v>
      </c>
      <c r="M70" s="322">
        <f>'Table 3 Levels 1&amp;2'!C72</f>
        <v>8246</v>
      </c>
      <c r="N70" s="320">
        <f>ROUND(M70*$N$4,0)</f>
        <v>824600</v>
      </c>
      <c r="O70" s="320">
        <f t="shared" si="15"/>
        <v>1230970</v>
      </c>
      <c r="P70" s="319">
        <v>829.12</v>
      </c>
      <c r="Q70" s="320">
        <f>'2-1-13 SIS'!S71*'Table 4 Level 3'!P70</f>
        <v>6836923.5200000005</v>
      </c>
      <c r="R70" s="320">
        <f t="shared" si="16"/>
        <v>8067893.5200000005</v>
      </c>
      <c r="T70" s="23"/>
      <c r="U70" s="1247"/>
      <c r="V70" s="411"/>
      <c r="W70" s="411"/>
    </row>
    <row r="71" spans="1:23">
      <c r="A71" s="134">
        <v>66</v>
      </c>
      <c r="B71" s="304" t="s">
        <v>157</v>
      </c>
      <c r="C71" s="327">
        <v>0</v>
      </c>
      <c r="D71" s="327">
        <v>0</v>
      </c>
      <c r="E71" s="327">
        <f>C71-D71</f>
        <v>0</v>
      </c>
      <c r="F71" s="328">
        <f>'[8]Table 4 Level 3'!F71+'[8]Table 4 Level 3'!H71</f>
        <v>0</v>
      </c>
      <c r="G71" s="328">
        <f>SUM(E71:F71)</f>
        <v>0</v>
      </c>
      <c r="H71" s="328">
        <f t="shared" ref="H71:H74" si="20">ROUND(-G71/4,0)</f>
        <v>0</v>
      </c>
      <c r="I71" s="326">
        <f>IF(F71&lt;0,0,'Table 3 Levels 1&amp;2'!C73)</f>
        <v>2025</v>
      </c>
      <c r="J71" s="312">
        <f>ROUND($J$4*I71,0)</f>
        <v>99794</v>
      </c>
      <c r="K71" s="115">
        <v>0</v>
      </c>
      <c r="L71" s="1245">
        <f t="shared" ref="L71:L74" si="21">ROUND($L$4*K71,0)</f>
        <v>0</v>
      </c>
      <c r="M71" s="326">
        <f>'Table 3 Levels 1&amp;2'!C73</f>
        <v>2025</v>
      </c>
      <c r="N71" s="312">
        <f>ROUND(M71*$N$4,0)</f>
        <v>202500</v>
      </c>
      <c r="O71" s="312">
        <f t="shared" ref="O71:O74" si="22">D71+E71+F71+H71+J71+L71+N71</f>
        <v>302294</v>
      </c>
      <c r="P71" s="313">
        <v>730.06</v>
      </c>
      <c r="Q71" s="312">
        <f>'2-1-13 SIS'!S72*'Table 4 Level 3'!P71</f>
        <v>1478371.5</v>
      </c>
      <c r="R71" s="312">
        <f>O71+Q71</f>
        <v>1780665.5</v>
      </c>
      <c r="T71" s="23"/>
      <c r="U71" s="1247"/>
      <c r="V71" s="411"/>
      <c r="W71" s="411"/>
    </row>
    <row r="72" spans="1:23">
      <c r="A72" s="350">
        <v>67</v>
      </c>
      <c r="B72" s="305" t="s">
        <v>32</v>
      </c>
      <c r="C72" s="317">
        <v>0</v>
      </c>
      <c r="D72" s="317">
        <v>0</v>
      </c>
      <c r="E72" s="317">
        <f>C72-D72</f>
        <v>0</v>
      </c>
      <c r="F72" s="318">
        <f>'[8]Table 4 Level 3'!F72+'[8]Table 4 Level 3'!H72</f>
        <v>0</v>
      </c>
      <c r="G72" s="318">
        <f>SUM(E72:F72)</f>
        <v>0</v>
      </c>
      <c r="H72" s="318">
        <f t="shared" si="20"/>
        <v>0</v>
      </c>
      <c r="I72" s="316">
        <f>IF(F72&lt;0,0,'Table 3 Levels 1&amp;2'!C74)</f>
        <v>5098</v>
      </c>
      <c r="J72" s="314">
        <f>ROUND($J$4*I72,0)</f>
        <v>251234</v>
      </c>
      <c r="K72" s="115">
        <v>0</v>
      </c>
      <c r="L72" s="1245">
        <f t="shared" si="21"/>
        <v>0</v>
      </c>
      <c r="M72" s="316">
        <f>'Table 3 Levels 1&amp;2'!C74</f>
        <v>5098</v>
      </c>
      <c r="N72" s="314">
        <f>ROUND(M72*$N$4,0)</f>
        <v>509800</v>
      </c>
      <c r="O72" s="314">
        <f t="shared" si="22"/>
        <v>761034</v>
      </c>
      <c r="P72" s="311">
        <v>715.61</v>
      </c>
      <c r="Q72" s="314">
        <f>'2-1-13 SIS'!S73*'Table 4 Level 3'!P72</f>
        <v>3648179.7800000003</v>
      </c>
      <c r="R72" s="314">
        <f>O72+Q72</f>
        <v>4409213.78</v>
      </c>
      <c r="T72" s="23"/>
      <c r="U72" s="1247"/>
      <c r="V72" s="411"/>
      <c r="W72" s="411"/>
    </row>
    <row r="73" spans="1:23">
      <c r="A73" s="99">
        <v>68</v>
      </c>
      <c r="B73" s="302" t="s">
        <v>30</v>
      </c>
      <c r="C73" s="317">
        <v>0</v>
      </c>
      <c r="D73" s="317">
        <v>0</v>
      </c>
      <c r="E73" s="317">
        <f>C73-D73</f>
        <v>0</v>
      </c>
      <c r="F73" s="318">
        <f>'[8]Table 4 Level 3'!F73+'[8]Table 4 Level 3'!H73</f>
        <v>0</v>
      </c>
      <c r="G73" s="318">
        <f>SUM(E73:F73)</f>
        <v>0</v>
      </c>
      <c r="H73" s="318">
        <f t="shared" si="20"/>
        <v>0</v>
      </c>
      <c r="I73" s="316">
        <f>IF(F73&lt;0,0,'Table 3 Levels 1&amp;2'!C75)</f>
        <v>1714</v>
      </c>
      <c r="J73" s="314">
        <f>ROUND($J$4*I73,0)</f>
        <v>84467</v>
      </c>
      <c r="K73" s="115">
        <v>0</v>
      </c>
      <c r="L73" s="1245">
        <f t="shared" si="21"/>
        <v>0</v>
      </c>
      <c r="M73" s="316">
        <f>'Table 3 Levels 1&amp;2'!C75</f>
        <v>1714</v>
      </c>
      <c r="N73" s="314">
        <f>ROUND(M73*$N$4,0)</f>
        <v>171400</v>
      </c>
      <c r="O73" s="314">
        <f t="shared" si="22"/>
        <v>255867</v>
      </c>
      <c r="P73" s="311">
        <v>798.7</v>
      </c>
      <c r="Q73" s="314">
        <f>'2-1-13 SIS'!S74*'Table 4 Level 3'!P73</f>
        <v>1368971.8</v>
      </c>
      <c r="R73" s="314">
        <f>O73+Q73</f>
        <v>1624838.8</v>
      </c>
      <c r="T73" s="23"/>
      <c r="U73" s="1247"/>
      <c r="V73" s="411"/>
      <c r="W73" s="411"/>
    </row>
    <row r="74" spans="1:23">
      <c r="A74" s="100">
        <v>69</v>
      </c>
      <c r="B74" s="303" t="s">
        <v>208</v>
      </c>
      <c r="C74" s="323">
        <v>0</v>
      </c>
      <c r="D74" s="323">
        <v>0</v>
      </c>
      <c r="E74" s="323">
        <f>C74-D74</f>
        <v>0</v>
      </c>
      <c r="F74" s="324">
        <f>'[8]Table 4 Level 3'!F74+'[8]Table 4 Level 3'!H74</f>
        <v>0</v>
      </c>
      <c r="G74" s="324">
        <f>SUM(E74:F74)</f>
        <v>0</v>
      </c>
      <c r="H74" s="324">
        <f t="shared" si="20"/>
        <v>0</v>
      </c>
      <c r="I74" s="322">
        <f>IF(F74&lt;0,0,'Table 3 Levels 1&amp;2'!C76)</f>
        <v>4193</v>
      </c>
      <c r="J74" s="320">
        <f>ROUND($J$4*I74,0)</f>
        <v>206635</v>
      </c>
      <c r="K74" s="1242">
        <v>0</v>
      </c>
      <c r="L74" s="1246">
        <f t="shared" si="21"/>
        <v>0</v>
      </c>
      <c r="M74" s="322">
        <f>'Table 3 Levels 1&amp;2'!C76</f>
        <v>4193</v>
      </c>
      <c r="N74" s="320">
        <f>ROUND(M74*$N$4,0)</f>
        <v>419300</v>
      </c>
      <c r="O74" s="320">
        <f t="shared" si="22"/>
        <v>625935</v>
      </c>
      <c r="P74" s="319">
        <v>705.67</v>
      </c>
      <c r="Q74" s="320">
        <f>'2-1-13 SIS'!S75*'Table 4 Level 3'!P74</f>
        <v>2958874.31</v>
      </c>
      <c r="R74" s="320">
        <f>O74+Q74</f>
        <v>3584809.31</v>
      </c>
      <c r="T74" s="23"/>
      <c r="U74" s="1247"/>
      <c r="V74" s="411"/>
      <c r="W74" s="411"/>
    </row>
    <row r="75" spans="1:23" s="8" customFormat="1" ht="13.5" thickBot="1">
      <c r="A75" s="413"/>
      <c r="B75" s="414" t="s">
        <v>158</v>
      </c>
      <c r="C75" s="466">
        <f t="shared" ref="C75:J75" si="23">SUM(C6:C74)</f>
        <v>76792933</v>
      </c>
      <c r="D75" s="466">
        <f t="shared" si="23"/>
        <v>38336714</v>
      </c>
      <c r="E75" s="466">
        <f t="shared" si="23"/>
        <v>38456219</v>
      </c>
      <c r="F75" s="467">
        <f t="shared" si="23"/>
        <v>-23577426</v>
      </c>
      <c r="G75" s="467">
        <f t="shared" si="23"/>
        <v>14878793</v>
      </c>
      <c r="H75" s="467">
        <f t="shared" si="23"/>
        <v>-3719701</v>
      </c>
      <c r="I75" s="468">
        <f t="shared" si="23"/>
        <v>553909</v>
      </c>
      <c r="J75" s="466">
        <f t="shared" si="23"/>
        <v>27297125</v>
      </c>
      <c r="K75" s="468">
        <f>SUM(K6:K74)</f>
        <v>212</v>
      </c>
      <c r="L75" s="466">
        <f>SUM(L6:L74)</f>
        <v>4240000</v>
      </c>
      <c r="M75" s="417">
        <f>SUM(M6:M74)</f>
        <v>673908</v>
      </c>
      <c r="N75" s="418">
        <f>SUM(N6:N74)</f>
        <v>67390800</v>
      </c>
      <c r="O75" s="418">
        <f>SUM(O6:O74)</f>
        <v>148423731</v>
      </c>
      <c r="P75" s="416">
        <f>Q75/'Table 3 Levels 1&amp;2'!C77</f>
        <v>704.49059912051428</v>
      </c>
      <c r="Q75" s="415">
        <f>SUM(Q6:Q74)</f>
        <v>474761850.67210752</v>
      </c>
      <c r="R75" s="418">
        <f>SUM(R6:R74)</f>
        <v>623185581.67210746</v>
      </c>
      <c r="U75" s="1247"/>
      <c r="V75" s="1190"/>
    </row>
    <row r="76" spans="1:23" s="8" customFormat="1" ht="13.5" thickTop="1">
      <c r="A76" s="420"/>
      <c r="B76" s="423"/>
      <c r="C76" s="778"/>
      <c r="D76" s="778"/>
      <c r="E76" s="778"/>
      <c r="F76" s="779"/>
      <c r="G76" s="779"/>
      <c r="H76" s="1642"/>
      <c r="I76" s="780"/>
      <c r="J76" s="778"/>
      <c r="K76" s="778"/>
      <c r="L76" s="778"/>
      <c r="M76" s="781"/>
      <c r="N76" s="263"/>
      <c r="O76" s="263"/>
      <c r="P76" s="97"/>
      <c r="Q76" s="782"/>
      <c r="R76" s="263"/>
      <c r="U76" s="1422"/>
      <c r="V76" s="1191"/>
    </row>
    <row r="77" spans="1:23" s="8" customFormat="1">
      <c r="A77" s="37"/>
      <c r="B77" s="38"/>
      <c r="C77" s="116"/>
      <c r="D77" s="116"/>
      <c r="E77" s="116"/>
      <c r="F77" s="116"/>
      <c r="G77" s="116"/>
      <c r="H77" s="1643"/>
      <c r="I77" s="116"/>
      <c r="J77" s="116"/>
      <c r="K77" s="116"/>
      <c r="L77" s="116"/>
      <c r="M77" s="116"/>
      <c r="N77" s="116"/>
      <c r="O77" s="116"/>
      <c r="P77" s="796"/>
      <c r="Q77" s="306"/>
      <c r="V77" s="1190"/>
    </row>
    <row r="78" spans="1:23">
      <c r="A78" s="445"/>
      <c r="B78" s="454"/>
      <c r="C78" s="64"/>
      <c r="D78" s="64"/>
      <c r="E78" s="135"/>
      <c r="F78" s="196"/>
      <c r="G78" s="138"/>
      <c r="H78" s="1644"/>
      <c r="I78" s="138"/>
      <c r="J78" s="138"/>
      <c r="K78" s="138"/>
      <c r="L78" s="138"/>
      <c r="M78" s="64"/>
      <c r="N78" s="64"/>
      <c r="O78" s="64"/>
      <c r="U78" s="1194"/>
      <c r="V78" s="1195"/>
      <c r="W78" s="796"/>
    </row>
    <row r="79" spans="1:23" ht="13.5" customHeight="1">
      <c r="A79" s="445"/>
      <c r="B79" s="454"/>
      <c r="C79" s="64"/>
      <c r="D79" s="64"/>
      <c r="E79" s="347"/>
      <c r="F79" s="138"/>
      <c r="G79" s="354"/>
      <c r="H79" s="424"/>
      <c r="I79" s="356"/>
      <c r="J79" s="355"/>
      <c r="K79" s="138"/>
      <c r="L79" s="138"/>
      <c r="M79" s="135"/>
      <c r="N79" s="135"/>
      <c r="O79" s="135">
        <f>SUM(O6:O74)</f>
        <v>148423731</v>
      </c>
      <c r="P79" s="1624"/>
      <c r="Q79" s="1624"/>
      <c r="R79" s="1624"/>
      <c r="U79" s="1423"/>
      <c r="V79" s="1424"/>
    </row>
    <row r="80" spans="1:23" ht="12.75" customHeight="1">
      <c r="A80" s="445"/>
      <c r="B80" s="455"/>
      <c r="E80" s="23"/>
      <c r="F80" s="796"/>
      <c r="G80" s="64"/>
      <c r="H80" s="347"/>
      <c r="I80" s="64"/>
      <c r="J80" s="64"/>
      <c r="K80" s="64"/>
      <c r="L80" s="64"/>
      <c r="P80" s="1621"/>
      <c r="Q80" s="1621"/>
      <c r="R80" s="1621"/>
      <c r="S80" s="1085"/>
      <c r="T80" s="1085"/>
      <c r="U80" s="796"/>
      <c r="V80" s="1085"/>
      <c r="W80" s="1085"/>
    </row>
    <row r="81" spans="1:22">
      <c r="A81" s="445"/>
      <c r="B81" s="454"/>
      <c r="G81" s="64"/>
      <c r="H81" s="425"/>
      <c r="I81" s="64"/>
      <c r="J81" s="64"/>
      <c r="K81" s="64"/>
      <c r="L81" s="64"/>
      <c r="P81" s="1621"/>
      <c r="Q81" s="1621"/>
      <c r="R81" s="1621"/>
      <c r="V81" s="861"/>
    </row>
    <row r="82" spans="1:22">
      <c r="A82" s="445"/>
      <c r="B82" s="454"/>
      <c r="G82" s="64"/>
      <c r="H82" s="64"/>
      <c r="I82" s="64"/>
      <c r="J82" s="64"/>
      <c r="K82" s="64"/>
      <c r="L82" s="64"/>
      <c r="P82" s="1622"/>
      <c r="Q82" s="1623"/>
      <c r="R82" s="1623"/>
    </row>
    <row r="83" spans="1:22">
      <c r="A83" s="420"/>
      <c r="B83" s="423"/>
      <c r="G83" s="64"/>
      <c r="H83" s="64"/>
      <c r="I83" s="64"/>
      <c r="J83" s="64"/>
      <c r="K83" s="64"/>
      <c r="L83" s="64"/>
      <c r="P83" s="861"/>
    </row>
    <row r="84" spans="1:22">
      <c r="A84" s="420"/>
      <c r="B84" s="423"/>
      <c r="G84" s="64"/>
      <c r="H84" s="64"/>
      <c r="I84" s="64"/>
      <c r="J84" s="64"/>
      <c r="K84" s="64"/>
      <c r="L84" s="64"/>
    </row>
    <row r="85" spans="1:22">
      <c r="A85" s="64"/>
      <c r="B85" s="64"/>
    </row>
  </sheetData>
  <mergeCells count="25">
    <mergeCell ref="H76:H78"/>
    <mergeCell ref="F3:F4"/>
    <mergeCell ref="D3:D4"/>
    <mergeCell ref="M2:N2"/>
    <mergeCell ref="G3:G4"/>
    <mergeCell ref="E3:E4"/>
    <mergeCell ref="C3:C4"/>
    <mergeCell ref="A2:A4"/>
    <mergeCell ref="B2:B4"/>
    <mergeCell ref="P3:P4"/>
    <mergeCell ref="Q3:Q4"/>
    <mergeCell ref="H3:H4"/>
    <mergeCell ref="I3:I4"/>
    <mergeCell ref="O2:O4"/>
    <mergeCell ref="C2:J2"/>
    <mergeCell ref="M3:M4"/>
    <mergeCell ref="P2:Q2"/>
    <mergeCell ref="K2:L2"/>
    <mergeCell ref="K3:K4"/>
    <mergeCell ref="U3:U4"/>
    <mergeCell ref="P80:R80"/>
    <mergeCell ref="P81:R81"/>
    <mergeCell ref="P82:R82"/>
    <mergeCell ref="R2:R4"/>
    <mergeCell ref="P79:R79"/>
  </mergeCells>
  <phoneticPr fontId="0" type="noConversion"/>
  <printOptions horizontalCentered="1"/>
  <pageMargins left="0.25" right="0.24" top="1.08" bottom="0.27" header="0.32" footer="0.35"/>
  <pageSetup paperSize="5" scale="80" firstPageNumber="32" orientation="portrait" useFirstPageNumber="1" r:id="rId1"/>
  <headerFooter alignWithMargins="0">
    <oddHeader>&amp;L&amp;"Arial,Bold"&amp;18Table 4:  FY2013-14 Budget Letter &amp;20
Level 3 Supplementary Funding</oddHeader>
    <oddFooter>&amp;R&amp;12&amp;P</oddFooter>
  </headerFooter>
  <colBreaks count="2" manualBreakCount="2">
    <brk id="15" max="75" man="1"/>
    <brk id="19" max="7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view="pageBreakPreview" zoomScaleNormal="80" zoomScaleSheetLayoutView="100" workbookViewId="0">
      <pane xSplit="2" ySplit="3" topLeftCell="C55" activePane="bottomRight" state="frozen"/>
      <selection activeCell="A8" sqref="A8:A9"/>
      <selection pane="topRight" activeCell="A8" sqref="A8:A9"/>
      <selection pane="bottomLeft" activeCell="A8" sqref="A8:A9"/>
      <selection pane="bottomRight" activeCell="B1" sqref="B1"/>
    </sheetView>
  </sheetViews>
  <sheetFormatPr defaultRowHeight="12.75"/>
  <cols>
    <col min="1" max="1" width="4.28515625" style="1417" customWidth="1"/>
    <col min="2" max="2" width="23" style="1417" customWidth="1"/>
    <col min="3" max="3" width="14.28515625" style="1417" customWidth="1"/>
    <col min="4" max="4" width="13.7109375" style="1417" customWidth="1"/>
    <col min="5" max="5" width="15.42578125" style="1362" customWidth="1"/>
    <col min="6" max="6" width="13.85546875" style="1362" customWidth="1"/>
    <col min="7" max="7" width="15.7109375" style="1362" customWidth="1"/>
    <col min="8" max="8" width="11" style="1362" customWidth="1"/>
    <col min="9" max="16384" width="9.140625" style="1362"/>
  </cols>
  <sheetData>
    <row r="1" spans="1:7" ht="88.5" customHeight="1">
      <c r="A1" s="1358" t="s">
        <v>185</v>
      </c>
      <c r="B1" s="1359" t="s">
        <v>246</v>
      </c>
      <c r="C1" s="1647" t="s">
        <v>916</v>
      </c>
      <c r="D1" s="1360" t="s">
        <v>233</v>
      </c>
      <c r="E1" s="1649" t="s">
        <v>917</v>
      </c>
      <c r="F1" s="1361" t="s">
        <v>234</v>
      </c>
      <c r="G1" s="1651" t="s">
        <v>86</v>
      </c>
    </row>
    <row r="2" spans="1:7">
      <c r="A2" s="1363"/>
      <c r="B2" s="1363"/>
      <c r="C2" s="1648"/>
      <c r="D2" s="1364">
        <v>6000</v>
      </c>
      <c r="E2" s="1650"/>
      <c r="F2" s="1365">
        <v>4000</v>
      </c>
      <c r="G2" s="1652"/>
    </row>
    <row r="3" spans="1:7">
      <c r="A3" s="1366"/>
      <c r="B3" s="1367"/>
      <c r="C3" s="1368">
        <f>B3+1</f>
        <v>1</v>
      </c>
      <c r="D3" s="1368">
        <f>C3+1</f>
        <v>2</v>
      </c>
      <c r="E3" s="1368">
        <f>D3+1</f>
        <v>3</v>
      </c>
      <c r="F3" s="1368">
        <f>E3+1</f>
        <v>4</v>
      </c>
      <c r="G3" s="1368">
        <f>F3+1</f>
        <v>5</v>
      </c>
    </row>
    <row r="4" spans="1:7">
      <c r="A4" s="1369">
        <v>1</v>
      </c>
      <c r="B4" s="1370" t="s">
        <v>93</v>
      </c>
      <c r="C4" s="1371">
        <v>0</v>
      </c>
      <c r="D4" s="1372">
        <f>ROUND($D$2*C4,0)</f>
        <v>0</v>
      </c>
      <c r="E4" s="1371">
        <v>0</v>
      </c>
      <c r="F4" s="1372">
        <f>ROUND($F$2*E4,0)</f>
        <v>0</v>
      </c>
      <c r="G4" s="1373">
        <f>D4+F4</f>
        <v>0</v>
      </c>
    </row>
    <row r="5" spans="1:7">
      <c r="A5" s="1369">
        <v>2</v>
      </c>
      <c r="B5" s="1370" t="s">
        <v>94</v>
      </c>
      <c r="C5" s="1371">
        <v>0</v>
      </c>
      <c r="D5" s="1372">
        <f t="shared" ref="D5:D68" si="0">ROUND($D$2*C5,0)</f>
        <v>0</v>
      </c>
      <c r="E5" s="1371">
        <v>0</v>
      </c>
      <c r="F5" s="1372">
        <f t="shared" ref="F5:F68" si="1">ROUND($F$2*E5,0)</f>
        <v>0</v>
      </c>
      <c r="G5" s="1373">
        <f t="shared" ref="G5:G68" si="2">D5+F5</f>
        <v>0</v>
      </c>
    </row>
    <row r="6" spans="1:7">
      <c r="A6" s="1369">
        <v>3</v>
      </c>
      <c r="B6" s="1370" t="s">
        <v>95</v>
      </c>
      <c r="C6" s="1371">
        <v>0</v>
      </c>
      <c r="D6" s="1372">
        <f t="shared" si="0"/>
        <v>0</v>
      </c>
      <c r="E6" s="1371">
        <v>0</v>
      </c>
      <c r="F6" s="1372">
        <f t="shared" si="1"/>
        <v>0</v>
      </c>
      <c r="G6" s="1373">
        <f t="shared" si="2"/>
        <v>0</v>
      </c>
    </row>
    <row r="7" spans="1:7">
      <c r="A7" s="1369">
        <v>4</v>
      </c>
      <c r="B7" s="1370" t="s">
        <v>96</v>
      </c>
      <c r="C7" s="1371">
        <v>3</v>
      </c>
      <c r="D7" s="1372">
        <f t="shared" si="0"/>
        <v>18000</v>
      </c>
      <c r="E7" s="1371">
        <v>0</v>
      </c>
      <c r="F7" s="1372">
        <f t="shared" si="1"/>
        <v>0</v>
      </c>
      <c r="G7" s="1373">
        <f t="shared" si="2"/>
        <v>18000</v>
      </c>
    </row>
    <row r="8" spans="1:7">
      <c r="A8" s="1374">
        <v>5</v>
      </c>
      <c r="B8" s="1375" t="s">
        <v>97</v>
      </c>
      <c r="C8" s="1376">
        <v>0</v>
      </c>
      <c r="D8" s="1377">
        <f t="shared" si="0"/>
        <v>0</v>
      </c>
      <c r="E8" s="1376">
        <v>0</v>
      </c>
      <c r="F8" s="1377">
        <f t="shared" si="1"/>
        <v>0</v>
      </c>
      <c r="G8" s="1378">
        <f t="shared" si="2"/>
        <v>0</v>
      </c>
    </row>
    <row r="9" spans="1:7">
      <c r="A9" s="1369">
        <v>6</v>
      </c>
      <c r="B9" s="1370" t="s">
        <v>98</v>
      </c>
      <c r="C9" s="1371">
        <v>0</v>
      </c>
      <c r="D9" s="1372">
        <f t="shared" si="0"/>
        <v>0</v>
      </c>
      <c r="E9" s="1371">
        <v>0</v>
      </c>
      <c r="F9" s="1372">
        <f t="shared" si="1"/>
        <v>0</v>
      </c>
      <c r="G9" s="1373">
        <f t="shared" si="2"/>
        <v>0</v>
      </c>
    </row>
    <row r="10" spans="1:7">
      <c r="A10" s="1369">
        <v>7</v>
      </c>
      <c r="B10" s="1370" t="s">
        <v>99</v>
      </c>
      <c r="C10" s="1371">
        <v>0</v>
      </c>
      <c r="D10" s="1372">
        <f t="shared" si="0"/>
        <v>0</v>
      </c>
      <c r="E10" s="1371">
        <v>0</v>
      </c>
      <c r="F10" s="1372">
        <f t="shared" si="1"/>
        <v>0</v>
      </c>
      <c r="G10" s="1373">
        <f t="shared" si="2"/>
        <v>0</v>
      </c>
    </row>
    <row r="11" spans="1:7">
      <c r="A11" s="1369">
        <v>8</v>
      </c>
      <c r="B11" s="1370" t="s">
        <v>100</v>
      </c>
      <c r="C11" s="1371">
        <v>2</v>
      </c>
      <c r="D11" s="1372">
        <f t="shared" si="0"/>
        <v>12000</v>
      </c>
      <c r="E11" s="1371">
        <v>0</v>
      </c>
      <c r="F11" s="1372">
        <f t="shared" si="1"/>
        <v>0</v>
      </c>
      <c r="G11" s="1373">
        <f t="shared" si="2"/>
        <v>12000</v>
      </c>
    </row>
    <row r="12" spans="1:7">
      <c r="A12" s="1369">
        <v>9</v>
      </c>
      <c r="B12" s="1370" t="s">
        <v>101</v>
      </c>
      <c r="C12" s="1371">
        <v>2</v>
      </c>
      <c r="D12" s="1372">
        <f t="shared" si="0"/>
        <v>12000</v>
      </c>
      <c r="E12" s="1371">
        <v>2</v>
      </c>
      <c r="F12" s="1372">
        <f t="shared" si="1"/>
        <v>8000</v>
      </c>
      <c r="G12" s="1373">
        <f t="shared" si="2"/>
        <v>20000</v>
      </c>
    </row>
    <row r="13" spans="1:7">
      <c r="A13" s="1374">
        <v>10</v>
      </c>
      <c r="B13" s="1375" t="s">
        <v>102</v>
      </c>
      <c r="C13" s="1376">
        <v>11</v>
      </c>
      <c r="D13" s="1377">
        <f t="shared" si="0"/>
        <v>66000</v>
      </c>
      <c r="E13" s="1376">
        <v>8</v>
      </c>
      <c r="F13" s="1377">
        <f t="shared" si="1"/>
        <v>32000</v>
      </c>
      <c r="G13" s="1378">
        <f t="shared" si="2"/>
        <v>98000</v>
      </c>
    </row>
    <row r="14" spans="1:7">
      <c r="A14" s="1369">
        <v>11</v>
      </c>
      <c r="B14" s="1370" t="s">
        <v>103</v>
      </c>
      <c r="C14" s="1371">
        <v>0</v>
      </c>
      <c r="D14" s="1372">
        <f t="shared" si="0"/>
        <v>0</v>
      </c>
      <c r="E14" s="1371">
        <v>0</v>
      </c>
      <c r="F14" s="1372">
        <f t="shared" si="1"/>
        <v>0</v>
      </c>
      <c r="G14" s="1373">
        <f t="shared" si="2"/>
        <v>0</v>
      </c>
    </row>
    <row r="15" spans="1:7">
      <c r="A15" s="1369">
        <v>12</v>
      </c>
      <c r="B15" s="1370" t="s">
        <v>104</v>
      </c>
      <c r="C15" s="1371">
        <v>0</v>
      </c>
      <c r="D15" s="1372">
        <f t="shared" si="0"/>
        <v>0</v>
      </c>
      <c r="E15" s="1371">
        <v>0</v>
      </c>
      <c r="F15" s="1372">
        <f t="shared" si="1"/>
        <v>0</v>
      </c>
      <c r="G15" s="1373">
        <f t="shared" si="2"/>
        <v>0</v>
      </c>
    </row>
    <row r="16" spans="1:7">
      <c r="A16" s="1369">
        <v>13</v>
      </c>
      <c r="B16" s="1370" t="s">
        <v>105</v>
      </c>
      <c r="C16" s="1371">
        <v>0</v>
      </c>
      <c r="D16" s="1372">
        <f t="shared" si="0"/>
        <v>0</v>
      </c>
      <c r="E16" s="1371">
        <v>0</v>
      </c>
      <c r="F16" s="1372">
        <f t="shared" si="1"/>
        <v>0</v>
      </c>
      <c r="G16" s="1373">
        <f t="shared" si="2"/>
        <v>0</v>
      </c>
    </row>
    <row r="17" spans="1:7">
      <c r="A17" s="1369">
        <v>14</v>
      </c>
      <c r="B17" s="1370" t="s">
        <v>106</v>
      </c>
      <c r="C17" s="1371">
        <v>0</v>
      </c>
      <c r="D17" s="1372">
        <f t="shared" si="0"/>
        <v>0</v>
      </c>
      <c r="E17" s="1371">
        <v>0</v>
      </c>
      <c r="F17" s="1372">
        <f t="shared" si="1"/>
        <v>0</v>
      </c>
      <c r="G17" s="1373">
        <f t="shared" si="2"/>
        <v>0</v>
      </c>
    </row>
    <row r="18" spans="1:7">
      <c r="A18" s="1374">
        <v>15</v>
      </c>
      <c r="B18" s="1375" t="s">
        <v>107</v>
      </c>
      <c r="C18" s="1376">
        <v>1</v>
      </c>
      <c r="D18" s="1377">
        <f t="shared" si="0"/>
        <v>6000</v>
      </c>
      <c r="E18" s="1376">
        <v>0</v>
      </c>
      <c r="F18" s="1377">
        <f t="shared" si="1"/>
        <v>0</v>
      </c>
      <c r="G18" s="1378">
        <f t="shared" si="2"/>
        <v>6000</v>
      </c>
    </row>
    <row r="19" spans="1:7">
      <c r="A19" s="1369">
        <v>16</v>
      </c>
      <c r="B19" s="1370" t="s">
        <v>108</v>
      </c>
      <c r="C19" s="1371">
        <v>0</v>
      </c>
      <c r="D19" s="1372">
        <f t="shared" si="0"/>
        <v>0</v>
      </c>
      <c r="E19" s="1371">
        <v>0</v>
      </c>
      <c r="F19" s="1372">
        <f t="shared" si="1"/>
        <v>0</v>
      </c>
      <c r="G19" s="1373">
        <f t="shared" si="2"/>
        <v>0</v>
      </c>
    </row>
    <row r="20" spans="1:7">
      <c r="A20" s="1369">
        <v>17</v>
      </c>
      <c r="B20" s="1370" t="s">
        <v>109</v>
      </c>
      <c r="C20" s="1371">
        <v>2</v>
      </c>
      <c r="D20" s="1372">
        <f t="shared" si="0"/>
        <v>12000</v>
      </c>
      <c r="E20" s="1371">
        <v>8</v>
      </c>
      <c r="F20" s="1372">
        <f t="shared" si="1"/>
        <v>32000</v>
      </c>
      <c r="G20" s="1373">
        <f t="shared" si="2"/>
        <v>44000</v>
      </c>
    </row>
    <row r="21" spans="1:7">
      <c r="A21" s="1369">
        <v>18</v>
      </c>
      <c r="B21" s="1370" t="s">
        <v>110</v>
      </c>
      <c r="C21" s="1371">
        <v>0</v>
      </c>
      <c r="D21" s="1372">
        <f t="shared" si="0"/>
        <v>0</v>
      </c>
      <c r="E21" s="1371">
        <v>0</v>
      </c>
      <c r="F21" s="1372">
        <f t="shared" si="1"/>
        <v>0</v>
      </c>
      <c r="G21" s="1373">
        <f t="shared" si="2"/>
        <v>0</v>
      </c>
    </row>
    <row r="22" spans="1:7">
      <c r="A22" s="1369">
        <v>19</v>
      </c>
      <c r="B22" s="1370" t="s">
        <v>111</v>
      </c>
      <c r="C22" s="1371">
        <v>0</v>
      </c>
      <c r="D22" s="1372">
        <f t="shared" si="0"/>
        <v>0</v>
      </c>
      <c r="E22" s="1371">
        <v>0</v>
      </c>
      <c r="F22" s="1372">
        <f t="shared" si="1"/>
        <v>0</v>
      </c>
      <c r="G22" s="1373">
        <f t="shared" si="2"/>
        <v>0</v>
      </c>
    </row>
    <row r="23" spans="1:7">
      <c r="A23" s="1374">
        <v>20</v>
      </c>
      <c r="B23" s="1375" t="s">
        <v>112</v>
      </c>
      <c r="C23" s="1376">
        <v>0</v>
      </c>
      <c r="D23" s="1377">
        <f t="shared" si="0"/>
        <v>0</v>
      </c>
      <c r="E23" s="1376">
        <v>0</v>
      </c>
      <c r="F23" s="1377">
        <f t="shared" si="1"/>
        <v>0</v>
      </c>
      <c r="G23" s="1378">
        <f t="shared" si="2"/>
        <v>0</v>
      </c>
    </row>
    <row r="24" spans="1:7">
      <c r="A24" s="1369">
        <v>21</v>
      </c>
      <c r="B24" s="1370" t="s">
        <v>113</v>
      </c>
      <c r="C24" s="1371">
        <v>0</v>
      </c>
      <c r="D24" s="1372">
        <f t="shared" si="0"/>
        <v>0</v>
      </c>
      <c r="E24" s="1371">
        <v>0</v>
      </c>
      <c r="F24" s="1372">
        <f t="shared" si="1"/>
        <v>0</v>
      </c>
      <c r="G24" s="1373">
        <f t="shared" si="2"/>
        <v>0</v>
      </c>
    </row>
    <row r="25" spans="1:7">
      <c r="A25" s="1369">
        <v>22</v>
      </c>
      <c r="B25" s="1370" t="s">
        <v>114</v>
      </c>
      <c r="C25" s="1371">
        <v>0</v>
      </c>
      <c r="D25" s="1372">
        <f t="shared" si="0"/>
        <v>0</v>
      </c>
      <c r="E25" s="1371">
        <v>0</v>
      </c>
      <c r="F25" s="1372">
        <f t="shared" si="1"/>
        <v>0</v>
      </c>
      <c r="G25" s="1373">
        <f t="shared" si="2"/>
        <v>0</v>
      </c>
    </row>
    <row r="26" spans="1:7">
      <c r="A26" s="1369">
        <v>23</v>
      </c>
      <c r="B26" s="1370" t="s">
        <v>115</v>
      </c>
      <c r="C26" s="1371">
        <v>3</v>
      </c>
      <c r="D26" s="1372">
        <f t="shared" si="0"/>
        <v>18000</v>
      </c>
      <c r="E26" s="1371">
        <v>4</v>
      </c>
      <c r="F26" s="1372">
        <f t="shared" si="1"/>
        <v>16000</v>
      </c>
      <c r="G26" s="1373">
        <f t="shared" si="2"/>
        <v>34000</v>
      </c>
    </row>
    <row r="27" spans="1:7">
      <c r="A27" s="1369">
        <v>24</v>
      </c>
      <c r="B27" s="1370" t="s">
        <v>116</v>
      </c>
      <c r="C27" s="1371">
        <v>0</v>
      </c>
      <c r="D27" s="1372">
        <f t="shared" si="0"/>
        <v>0</v>
      </c>
      <c r="E27" s="1371">
        <v>0</v>
      </c>
      <c r="F27" s="1372">
        <f t="shared" si="1"/>
        <v>0</v>
      </c>
      <c r="G27" s="1373">
        <f t="shared" si="2"/>
        <v>0</v>
      </c>
    </row>
    <row r="28" spans="1:7">
      <c r="A28" s="1374">
        <v>25</v>
      </c>
      <c r="B28" s="1375" t="s">
        <v>117</v>
      </c>
      <c r="C28" s="1376">
        <v>0</v>
      </c>
      <c r="D28" s="1377">
        <f t="shared" si="0"/>
        <v>0</v>
      </c>
      <c r="E28" s="1376">
        <v>0</v>
      </c>
      <c r="F28" s="1377">
        <f t="shared" si="1"/>
        <v>0</v>
      </c>
      <c r="G28" s="1378">
        <f t="shared" si="2"/>
        <v>0</v>
      </c>
    </row>
    <row r="29" spans="1:7">
      <c r="A29" s="1369">
        <v>26</v>
      </c>
      <c r="B29" s="1370" t="s">
        <v>118</v>
      </c>
      <c r="C29" s="1371">
        <v>0</v>
      </c>
      <c r="D29" s="1372">
        <f t="shared" si="0"/>
        <v>0</v>
      </c>
      <c r="E29" s="1371">
        <v>0</v>
      </c>
      <c r="F29" s="1372">
        <f t="shared" si="1"/>
        <v>0</v>
      </c>
      <c r="G29" s="1373">
        <f t="shared" si="2"/>
        <v>0</v>
      </c>
    </row>
    <row r="30" spans="1:7">
      <c r="A30" s="1369">
        <v>27</v>
      </c>
      <c r="B30" s="1370" t="s">
        <v>119</v>
      </c>
      <c r="C30" s="1371">
        <v>0</v>
      </c>
      <c r="D30" s="1372">
        <f t="shared" si="0"/>
        <v>0</v>
      </c>
      <c r="E30" s="1371">
        <v>0</v>
      </c>
      <c r="F30" s="1372">
        <f t="shared" si="1"/>
        <v>0</v>
      </c>
      <c r="G30" s="1373">
        <f t="shared" si="2"/>
        <v>0</v>
      </c>
    </row>
    <row r="31" spans="1:7">
      <c r="A31" s="1369">
        <v>28</v>
      </c>
      <c r="B31" s="1370" t="s">
        <v>120</v>
      </c>
      <c r="C31" s="1371">
        <v>11</v>
      </c>
      <c r="D31" s="1372">
        <f t="shared" si="0"/>
        <v>66000</v>
      </c>
      <c r="E31" s="1371">
        <v>8</v>
      </c>
      <c r="F31" s="1372">
        <f t="shared" si="1"/>
        <v>32000</v>
      </c>
      <c r="G31" s="1373">
        <f t="shared" si="2"/>
        <v>98000</v>
      </c>
    </row>
    <row r="32" spans="1:7">
      <c r="A32" s="1369">
        <v>29</v>
      </c>
      <c r="B32" s="1370" t="s">
        <v>121</v>
      </c>
      <c r="C32" s="1371">
        <v>2</v>
      </c>
      <c r="D32" s="1372">
        <f t="shared" si="0"/>
        <v>12000</v>
      </c>
      <c r="E32" s="1371">
        <v>3</v>
      </c>
      <c r="F32" s="1372">
        <f t="shared" si="1"/>
        <v>12000</v>
      </c>
      <c r="G32" s="1373">
        <f t="shared" si="2"/>
        <v>24000</v>
      </c>
    </row>
    <row r="33" spans="1:7">
      <c r="A33" s="1374">
        <v>30</v>
      </c>
      <c r="B33" s="1375" t="s">
        <v>122</v>
      </c>
      <c r="C33" s="1376">
        <v>0</v>
      </c>
      <c r="D33" s="1377">
        <f t="shared" si="0"/>
        <v>0</v>
      </c>
      <c r="E33" s="1376">
        <v>0</v>
      </c>
      <c r="F33" s="1377">
        <f t="shared" si="1"/>
        <v>0</v>
      </c>
      <c r="G33" s="1378">
        <f t="shared" si="2"/>
        <v>0</v>
      </c>
    </row>
    <row r="34" spans="1:7">
      <c r="A34" s="1369">
        <v>31</v>
      </c>
      <c r="B34" s="1370" t="s">
        <v>123</v>
      </c>
      <c r="C34" s="1371">
        <v>0</v>
      </c>
      <c r="D34" s="1372">
        <f t="shared" si="0"/>
        <v>0</v>
      </c>
      <c r="E34" s="1371">
        <v>0</v>
      </c>
      <c r="F34" s="1372">
        <f t="shared" si="1"/>
        <v>0</v>
      </c>
      <c r="G34" s="1373">
        <f t="shared" si="2"/>
        <v>0</v>
      </c>
    </row>
    <row r="35" spans="1:7">
      <c r="A35" s="1369">
        <v>32</v>
      </c>
      <c r="B35" s="1370" t="s">
        <v>124</v>
      </c>
      <c r="C35" s="1371">
        <v>0</v>
      </c>
      <c r="D35" s="1372">
        <f t="shared" si="0"/>
        <v>0</v>
      </c>
      <c r="E35" s="1371">
        <v>0</v>
      </c>
      <c r="F35" s="1372">
        <f t="shared" si="1"/>
        <v>0</v>
      </c>
      <c r="G35" s="1373">
        <f t="shared" si="2"/>
        <v>0</v>
      </c>
    </row>
    <row r="36" spans="1:7">
      <c r="A36" s="1369">
        <v>33</v>
      </c>
      <c r="B36" s="1370" t="s">
        <v>125</v>
      </c>
      <c r="C36" s="1371">
        <v>0</v>
      </c>
      <c r="D36" s="1372">
        <f t="shared" si="0"/>
        <v>0</v>
      </c>
      <c r="E36" s="1371">
        <v>1</v>
      </c>
      <c r="F36" s="1372">
        <f t="shared" si="1"/>
        <v>4000</v>
      </c>
      <c r="G36" s="1373">
        <f t="shared" si="2"/>
        <v>4000</v>
      </c>
    </row>
    <row r="37" spans="1:7">
      <c r="A37" s="1369">
        <v>34</v>
      </c>
      <c r="B37" s="1370" t="s">
        <v>126</v>
      </c>
      <c r="C37" s="1371">
        <v>0</v>
      </c>
      <c r="D37" s="1372">
        <f t="shared" si="0"/>
        <v>0</v>
      </c>
      <c r="E37" s="1371">
        <v>0</v>
      </c>
      <c r="F37" s="1372">
        <f t="shared" si="1"/>
        <v>0</v>
      </c>
      <c r="G37" s="1373">
        <f t="shared" si="2"/>
        <v>0</v>
      </c>
    </row>
    <row r="38" spans="1:7">
      <c r="A38" s="1374">
        <v>35</v>
      </c>
      <c r="B38" s="1375" t="s">
        <v>127</v>
      </c>
      <c r="C38" s="1376">
        <v>0</v>
      </c>
      <c r="D38" s="1377">
        <f t="shared" si="0"/>
        <v>0</v>
      </c>
      <c r="E38" s="1376">
        <v>0</v>
      </c>
      <c r="F38" s="1377">
        <f t="shared" si="1"/>
        <v>0</v>
      </c>
      <c r="G38" s="1378">
        <f t="shared" si="2"/>
        <v>0</v>
      </c>
    </row>
    <row r="39" spans="1:7">
      <c r="A39" s="1369">
        <v>36</v>
      </c>
      <c r="B39" s="1370" t="s">
        <v>128</v>
      </c>
      <c r="C39" s="1371">
        <v>1</v>
      </c>
      <c r="D39" s="1372">
        <f t="shared" si="0"/>
        <v>6000</v>
      </c>
      <c r="E39" s="1371">
        <v>14</v>
      </c>
      <c r="F39" s="1372">
        <f t="shared" si="1"/>
        <v>56000</v>
      </c>
      <c r="G39" s="1373">
        <f t="shared" si="2"/>
        <v>62000</v>
      </c>
    </row>
    <row r="40" spans="1:7">
      <c r="A40" s="1369">
        <v>37</v>
      </c>
      <c r="B40" s="1370" t="s">
        <v>129</v>
      </c>
      <c r="C40" s="1371">
        <v>0</v>
      </c>
      <c r="D40" s="1372">
        <f t="shared" si="0"/>
        <v>0</v>
      </c>
      <c r="E40" s="1371">
        <v>0</v>
      </c>
      <c r="F40" s="1372">
        <f t="shared" si="1"/>
        <v>0</v>
      </c>
      <c r="G40" s="1373">
        <f t="shared" si="2"/>
        <v>0</v>
      </c>
    </row>
    <row r="41" spans="1:7">
      <c r="A41" s="1369">
        <v>38</v>
      </c>
      <c r="B41" s="1370" t="s">
        <v>130</v>
      </c>
      <c r="C41" s="1371">
        <v>0</v>
      </c>
      <c r="D41" s="1372">
        <f t="shared" si="0"/>
        <v>0</v>
      </c>
      <c r="E41" s="1371">
        <v>2</v>
      </c>
      <c r="F41" s="1372">
        <f t="shared" si="1"/>
        <v>8000</v>
      </c>
      <c r="G41" s="1373">
        <f t="shared" si="2"/>
        <v>8000</v>
      </c>
    </row>
    <row r="42" spans="1:7">
      <c r="A42" s="1369">
        <v>39</v>
      </c>
      <c r="B42" s="1370" t="s">
        <v>131</v>
      </c>
      <c r="C42" s="1371">
        <v>0</v>
      </c>
      <c r="D42" s="1372">
        <f t="shared" si="0"/>
        <v>0</v>
      </c>
      <c r="E42" s="1371">
        <v>0</v>
      </c>
      <c r="F42" s="1372">
        <f t="shared" si="1"/>
        <v>0</v>
      </c>
      <c r="G42" s="1373">
        <f t="shared" si="2"/>
        <v>0</v>
      </c>
    </row>
    <row r="43" spans="1:7">
      <c r="A43" s="1374">
        <v>40</v>
      </c>
      <c r="B43" s="1375" t="s">
        <v>132</v>
      </c>
      <c r="C43" s="1376">
        <v>0</v>
      </c>
      <c r="D43" s="1377">
        <f t="shared" si="0"/>
        <v>0</v>
      </c>
      <c r="E43" s="1376">
        <v>0</v>
      </c>
      <c r="F43" s="1377">
        <f t="shared" si="1"/>
        <v>0</v>
      </c>
      <c r="G43" s="1378">
        <f t="shared" si="2"/>
        <v>0</v>
      </c>
    </row>
    <row r="44" spans="1:7">
      <c r="A44" s="1369">
        <v>41</v>
      </c>
      <c r="B44" s="1370" t="s">
        <v>133</v>
      </c>
      <c r="C44" s="1371">
        <v>0</v>
      </c>
      <c r="D44" s="1372">
        <f t="shared" si="0"/>
        <v>0</v>
      </c>
      <c r="E44" s="1371">
        <v>0</v>
      </c>
      <c r="F44" s="1372">
        <f t="shared" si="1"/>
        <v>0</v>
      </c>
      <c r="G44" s="1373">
        <f t="shared" si="2"/>
        <v>0</v>
      </c>
    </row>
    <row r="45" spans="1:7">
      <c r="A45" s="1369">
        <v>42</v>
      </c>
      <c r="B45" s="1370" t="s">
        <v>134</v>
      </c>
      <c r="C45" s="1371">
        <v>0</v>
      </c>
      <c r="D45" s="1372">
        <f t="shared" si="0"/>
        <v>0</v>
      </c>
      <c r="E45" s="1371">
        <v>0</v>
      </c>
      <c r="F45" s="1372">
        <f t="shared" si="1"/>
        <v>0</v>
      </c>
      <c r="G45" s="1373">
        <f t="shared" si="2"/>
        <v>0</v>
      </c>
    </row>
    <row r="46" spans="1:7">
      <c r="A46" s="1369">
        <v>43</v>
      </c>
      <c r="B46" s="1370" t="s">
        <v>135</v>
      </c>
      <c r="C46" s="1371">
        <v>0</v>
      </c>
      <c r="D46" s="1372">
        <f t="shared" si="0"/>
        <v>0</v>
      </c>
      <c r="E46" s="1371">
        <v>0</v>
      </c>
      <c r="F46" s="1372">
        <f t="shared" si="1"/>
        <v>0</v>
      </c>
      <c r="G46" s="1373">
        <f t="shared" si="2"/>
        <v>0</v>
      </c>
    </row>
    <row r="47" spans="1:7">
      <c r="A47" s="1369">
        <v>44</v>
      </c>
      <c r="B47" s="1370" t="s">
        <v>136</v>
      </c>
      <c r="C47" s="1371">
        <v>0</v>
      </c>
      <c r="D47" s="1372">
        <f t="shared" si="0"/>
        <v>0</v>
      </c>
      <c r="E47" s="1371">
        <v>0</v>
      </c>
      <c r="F47" s="1372">
        <f t="shared" si="1"/>
        <v>0</v>
      </c>
      <c r="G47" s="1373">
        <f t="shared" si="2"/>
        <v>0</v>
      </c>
    </row>
    <row r="48" spans="1:7">
      <c r="A48" s="1374">
        <v>45</v>
      </c>
      <c r="B48" s="1375" t="s">
        <v>137</v>
      </c>
      <c r="C48" s="1376">
        <v>0</v>
      </c>
      <c r="D48" s="1377">
        <f t="shared" si="0"/>
        <v>0</v>
      </c>
      <c r="E48" s="1376">
        <v>0</v>
      </c>
      <c r="F48" s="1377">
        <f t="shared" si="1"/>
        <v>0</v>
      </c>
      <c r="G48" s="1378">
        <f t="shared" si="2"/>
        <v>0</v>
      </c>
    </row>
    <row r="49" spans="1:7">
      <c r="A49" s="1369">
        <v>46</v>
      </c>
      <c r="B49" s="1370" t="s">
        <v>138</v>
      </c>
      <c r="C49" s="1371">
        <v>0</v>
      </c>
      <c r="D49" s="1372">
        <f t="shared" si="0"/>
        <v>0</v>
      </c>
      <c r="E49" s="1371">
        <v>0</v>
      </c>
      <c r="F49" s="1372">
        <f t="shared" si="1"/>
        <v>0</v>
      </c>
      <c r="G49" s="1373">
        <f t="shared" si="2"/>
        <v>0</v>
      </c>
    </row>
    <row r="50" spans="1:7">
      <c r="A50" s="1369">
        <v>47</v>
      </c>
      <c r="B50" s="1370" t="s">
        <v>139</v>
      </c>
      <c r="C50" s="1371">
        <v>0</v>
      </c>
      <c r="D50" s="1372">
        <f t="shared" si="0"/>
        <v>0</v>
      </c>
      <c r="E50" s="1371">
        <v>0</v>
      </c>
      <c r="F50" s="1372">
        <f t="shared" si="1"/>
        <v>0</v>
      </c>
      <c r="G50" s="1373">
        <f t="shared" si="2"/>
        <v>0</v>
      </c>
    </row>
    <row r="51" spans="1:7">
      <c r="A51" s="1369">
        <v>48</v>
      </c>
      <c r="B51" s="1370" t="s">
        <v>197</v>
      </c>
      <c r="C51" s="1371">
        <v>0</v>
      </c>
      <c r="D51" s="1372">
        <f t="shared" si="0"/>
        <v>0</v>
      </c>
      <c r="E51" s="1371">
        <v>0</v>
      </c>
      <c r="F51" s="1372">
        <f t="shared" si="1"/>
        <v>0</v>
      </c>
      <c r="G51" s="1373">
        <f t="shared" si="2"/>
        <v>0</v>
      </c>
    </row>
    <row r="52" spans="1:7">
      <c r="A52" s="1369">
        <v>49</v>
      </c>
      <c r="B52" s="1370" t="s">
        <v>140</v>
      </c>
      <c r="C52" s="1371">
        <v>0</v>
      </c>
      <c r="D52" s="1372">
        <f t="shared" si="0"/>
        <v>0</v>
      </c>
      <c r="E52" s="1371">
        <v>0</v>
      </c>
      <c r="F52" s="1372">
        <f t="shared" si="1"/>
        <v>0</v>
      </c>
      <c r="G52" s="1373">
        <f t="shared" si="2"/>
        <v>0</v>
      </c>
    </row>
    <row r="53" spans="1:7">
      <c r="A53" s="1374">
        <v>50</v>
      </c>
      <c r="B53" s="1375" t="s">
        <v>141</v>
      </c>
      <c r="C53" s="1376">
        <v>2</v>
      </c>
      <c r="D53" s="1377">
        <f t="shared" si="0"/>
        <v>12000</v>
      </c>
      <c r="E53" s="1376">
        <v>4</v>
      </c>
      <c r="F53" s="1377">
        <f t="shared" si="1"/>
        <v>16000</v>
      </c>
      <c r="G53" s="1378">
        <f t="shared" si="2"/>
        <v>28000</v>
      </c>
    </row>
    <row r="54" spans="1:7">
      <c r="A54" s="1369">
        <v>51</v>
      </c>
      <c r="B54" s="1370" t="s">
        <v>142</v>
      </c>
      <c r="C54" s="1371">
        <v>0</v>
      </c>
      <c r="D54" s="1372">
        <f t="shared" si="0"/>
        <v>0</v>
      </c>
      <c r="E54" s="1371">
        <v>0</v>
      </c>
      <c r="F54" s="1372">
        <f t="shared" si="1"/>
        <v>0</v>
      </c>
      <c r="G54" s="1373">
        <f t="shared" si="2"/>
        <v>0</v>
      </c>
    </row>
    <row r="55" spans="1:7">
      <c r="A55" s="1369">
        <v>52</v>
      </c>
      <c r="B55" s="1370" t="s">
        <v>143</v>
      </c>
      <c r="C55" s="1371">
        <v>0</v>
      </c>
      <c r="D55" s="1372">
        <f t="shared" si="0"/>
        <v>0</v>
      </c>
      <c r="E55" s="1371">
        <v>0</v>
      </c>
      <c r="F55" s="1372">
        <f t="shared" si="1"/>
        <v>0</v>
      </c>
      <c r="G55" s="1373">
        <f t="shared" si="2"/>
        <v>0</v>
      </c>
    </row>
    <row r="56" spans="1:7">
      <c r="A56" s="1369">
        <v>53</v>
      </c>
      <c r="B56" s="1370" t="s">
        <v>144</v>
      </c>
      <c r="C56" s="1371">
        <v>0</v>
      </c>
      <c r="D56" s="1372">
        <f t="shared" si="0"/>
        <v>0</v>
      </c>
      <c r="E56" s="1371">
        <v>2</v>
      </c>
      <c r="F56" s="1372">
        <f t="shared" si="1"/>
        <v>8000</v>
      </c>
      <c r="G56" s="1373">
        <f t="shared" si="2"/>
        <v>8000</v>
      </c>
    </row>
    <row r="57" spans="1:7">
      <c r="A57" s="1369">
        <v>54</v>
      </c>
      <c r="B57" s="1370" t="s">
        <v>145</v>
      </c>
      <c r="C57" s="1371">
        <v>0</v>
      </c>
      <c r="D57" s="1372">
        <f t="shared" si="0"/>
        <v>0</v>
      </c>
      <c r="E57" s="1371">
        <v>0</v>
      </c>
      <c r="F57" s="1372">
        <f t="shared" si="1"/>
        <v>0</v>
      </c>
      <c r="G57" s="1373">
        <f t="shared" si="2"/>
        <v>0</v>
      </c>
    </row>
    <row r="58" spans="1:7">
      <c r="A58" s="1374">
        <v>55</v>
      </c>
      <c r="B58" s="1375" t="s">
        <v>146</v>
      </c>
      <c r="C58" s="1376">
        <v>0</v>
      </c>
      <c r="D58" s="1377">
        <f t="shared" si="0"/>
        <v>0</v>
      </c>
      <c r="E58" s="1376">
        <v>0</v>
      </c>
      <c r="F58" s="1377">
        <f t="shared" si="1"/>
        <v>0</v>
      </c>
      <c r="G58" s="1378">
        <f t="shared" si="2"/>
        <v>0</v>
      </c>
    </row>
    <row r="59" spans="1:7">
      <c r="A59" s="1369">
        <v>56</v>
      </c>
      <c r="B59" s="1370" t="s">
        <v>147</v>
      </c>
      <c r="C59" s="1371">
        <v>0</v>
      </c>
      <c r="D59" s="1372">
        <f t="shared" si="0"/>
        <v>0</v>
      </c>
      <c r="E59" s="1371">
        <v>0</v>
      </c>
      <c r="F59" s="1372">
        <f t="shared" si="1"/>
        <v>0</v>
      </c>
      <c r="G59" s="1373">
        <f t="shared" si="2"/>
        <v>0</v>
      </c>
    </row>
    <row r="60" spans="1:7">
      <c r="A60" s="1369">
        <v>57</v>
      </c>
      <c r="B60" s="1370" t="s">
        <v>148</v>
      </c>
      <c r="C60" s="1371">
        <v>0</v>
      </c>
      <c r="D60" s="1372">
        <f t="shared" si="0"/>
        <v>0</v>
      </c>
      <c r="E60" s="1371">
        <v>0</v>
      </c>
      <c r="F60" s="1372">
        <f t="shared" si="1"/>
        <v>0</v>
      </c>
      <c r="G60" s="1373">
        <f t="shared" si="2"/>
        <v>0</v>
      </c>
    </row>
    <row r="61" spans="1:7">
      <c r="A61" s="1369">
        <v>58</v>
      </c>
      <c r="B61" s="1370" t="s">
        <v>149</v>
      </c>
      <c r="C61" s="1371">
        <v>0</v>
      </c>
      <c r="D61" s="1372">
        <f t="shared" si="0"/>
        <v>0</v>
      </c>
      <c r="E61" s="1371">
        <v>0</v>
      </c>
      <c r="F61" s="1372">
        <f t="shared" si="1"/>
        <v>0</v>
      </c>
      <c r="G61" s="1373">
        <f t="shared" si="2"/>
        <v>0</v>
      </c>
    </row>
    <row r="62" spans="1:7">
      <c r="A62" s="1369">
        <v>59</v>
      </c>
      <c r="B62" s="1370" t="s">
        <v>150</v>
      </c>
      <c r="C62" s="1371">
        <v>0</v>
      </c>
      <c r="D62" s="1372">
        <f t="shared" si="0"/>
        <v>0</v>
      </c>
      <c r="E62" s="1371">
        <v>0</v>
      </c>
      <c r="F62" s="1372">
        <f t="shared" si="1"/>
        <v>0</v>
      </c>
      <c r="G62" s="1373">
        <f t="shared" si="2"/>
        <v>0</v>
      </c>
    </row>
    <row r="63" spans="1:7">
      <c r="A63" s="1374">
        <v>60</v>
      </c>
      <c r="B63" s="1375" t="s">
        <v>151</v>
      </c>
      <c r="C63" s="1376">
        <v>0</v>
      </c>
      <c r="D63" s="1377">
        <f t="shared" si="0"/>
        <v>0</v>
      </c>
      <c r="E63" s="1376">
        <v>0</v>
      </c>
      <c r="F63" s="1377">
        <f t="shared" si="1"/>
        <v>0</v>
      </c>
      <c r="G63" s="1378">
        <f t="shared" si="2"/>
        <v>0</v>
      </c>
    </row>
    <row r="64" spans="1:7">
      <c r="A64" s="1369">
        <v>61</v>
      </c>
      <c r="B64" s="1370" t="s">
        <v>152</v>
      </c>
      <c r="C64" s="1371">
        <v>0</v>
      </c>
      <c r="D64" s="1372">
        <f t="shared" si="0"/>
        <v>0</v>
      </c>
      <c r="E64" s="1371">
        <v>0</v>
      </c>
      <c r="F64" s="1372">
        <f t="shared" si="1"/>
        <v>0</v>
      </c>
      <c r="G64" s="1373">
        <f t="shared" si="2"/>
        <v>0</v>
      </c>
    </row>
    <row r="65" spans="1:7">
      <c r="A65" s="1369">
        <v>62</v>
      </c>
      <c r="B65" s="1370" t="s">
        <v>153</v>
      </c>
      <c r="C65" s="1371">
        <v>0</v>
      </c>
      <c r="D65" s="1372">
        <f t="shared" si="0"/>
        <v>0</v>
      </c>
      <c r="E65" s="1371">
        <v>0</v>
      </c>
      <c r="F65" s="1372">
        <f t="shared" si="1"/>
        <v>0</v>
      </c>
      <c r="G65" s="1373">
        <f t="shared" si="2"/>
        <v>0</v>
      </c>
    </row>
    <row r="66" spans="1:7">
      <c r="A66" s="1369">
        <v>63</v>
      </c>
      <c r="B66" s="1370" t="s">
        <v>154</v>
      </c>
      <c r="C66" s="1371">
        <v>0</v>
      </c>
      <c r="D66" s="1372">
        <f t="shared" si="0"/>
        <v>0</v>
      </c>
      <c r="E66" s="1371">
        <v>0</v>
      </c>
      <c r="F66" s="1372">
        <f t="shared" si="1"/>
        <v>0</v>
      </c>
      <c r="G66" s="1373">
        <f t="shared" si="2"/>
        <v>0</v>
      </c>
    </row>
    <row r="67" spans="1:7">
      <c r="A67" s="1369">
        <v>64</v>
      </c>
      <c r="B67" s="1370" t="s">
        <v>155</v>
      </c>
      <c r="C67" s="1371">
        <v>0</v>
      </c>
      <c r="D67" s="1372">
        <f t="shared" si="0"/>
        <v>0</v>
      </c>
      <c r="E67" s="1371">
        <v>0</v>
      </c>
      <c r="F67" s="1372">
        <f t="shared" si="1"/>
        <v>0</v>
      </c>
      <c r="G67" s="1373">
        <f t="shared" si="2"/>
        <v>0</v>
      </c>
    </row>
    <row r="68" spans="1:7">
      <c r="A68" s="1374">
        <v>65</v>
      </c>
      <c r="B68" s="1375" t="s">
        <v>156</v>
      </c>
      <c r="C68" s="1379">
        <v>0</v>
      </c>
      <c r="D68" s="1377">
        <f t="shared" si="0"/>
        <v>0</v>
      </c>
      <c r="E68" s="1379">
        <v>0</v>
      </c>
      <c r="F68" s="1377">
        <f t="shared" si="1"/>
        <v>0</v>
      </c>
      <c r="G68" s="1378">
        <f t="shared" si="2"/>
        <v>0</v>
      </c>
    </row>
    <row r="69" spans="1:7">
      <c r="A69" s="1380">
        <v>66</v>
      </c>
      <c r="B69" s="1381" t="s">
        <v>157</v>
      </c>
      <c r="C69" s="1382">
        <v>0</v>
      </c>
      <c r="D69" s="1383">
        <f>ROUND($D$2*C69,0)</f>
        <v>0</v>
      </c>
      <c r="E69" s="1382">
        <v>0</v>
      </c>
      <c r="F69" s="1383">
        <f>ROUND($F$2*E69,0)</f>
        <v>0</v>
      </c>
      <c r="G69" s="1384">
        <f>D69+F69</f>
        <v>0</v>
      </c>
    </row>
    <row r="70" spans="1:7">
      <c r="A70" s="1385">
        <v>67</v>
      </c>
      <c r="B70" s="1386" t="s">
        <v>32</v>
      </c>
      <c r="C70" s="1371">
        <v>0</v>
      </c>
      <c r="D70" s="1372">
        <f>ROUND($D$2*C70,0)</f>
        <v>0</v>
      </c>
      <c r="E70" s="1371">
        <v>0</v>
      </c>
      <c r="F70" s="1372">
        <f>ROUND($F$2*E70,0)</f>
        <v>0</v>
      </c>
      <c r="G70" s="1373">
        <f>D70+F70</f>
        <v>0</v>
      </c>
    </row>
    <row r="71" spans="1:7">
      <c r="A71" s="1369">
        <v>68</v>
      </c>
      <c r="B71" s="1370" t="s">
        <v>30</v>
      </c>
      <c r="C71" s="1371">
        <v>0</v>
      </c>
      <c r="D71" s="1372">
        <f>ROUND($D$2*C71,0)</f>
        <v>0</v>
      </c>
      <c r="E71" s="1371">
        <v>0</v>
      </c>
      <c r="F71" s="1372">
        <f>ROUND($F$2*E71,0)</f>
        <v>0</v>
      </c>
      <c r="G71" s="1373">
        <f>D71+F71</f>
        <v>0</v>
      </c>
    </row>
    <row r="72" spans="1:7">
      <c r="A72" s="1374">
        <v>69</v>
      </c>
      <c r="B72" s="1375" t="s">
        <v>208</v>
      </c>
      <c r="C72" s="1379">
        <v>0</v>
      </c>
      <c r="D72" s="1377">
        <f>ROUND($D$2*C72,0)</f>
        <v>0</v>
      </c>
      <c r="E72" s="1379">
        <v>0</v>
      </c>
      <c r="F72" s="1377">
        <f>ROUND($F$2*E72,0)</f>
        <v>0</v>
      </c>
      <c r="G72" s="1378">
        <f>D72+F72</f>
        <v>0</v>
      </c>
    </row>
    <row r="73" spans="1:7" ht="13.5" thickBot="1">
      <c r="A73" s="1387"/>
      <c r="B73" s="1388" t="s">
        <v>918</v>
      </c>
      <c r="C73" s="417">
        <f>SUM(C4:C72)</f>
        <v>40</v>
      </c>
      <c r="D73" s="1389">
        <f>SUM(D4:D72)</f>
        <v>240000</v>
      </c>
      <c r="E73" s="417">
        <f>SUM(E4:E72)</f>
        <v>56</v>
      </c>
      <c r="F73" s="1389">
        <f>SUM(F4:F72)</f>
        <v>224000</v>
      </c>
      <c r="G73" s="1390">
        <f>SUM(G4:G72)</f>
        <v>464000</v>
      </c>
    </row>
    <row r="74" spans="1:7" ht="13.5" thickTop="1">
      <c r="A74" s="1391"/>
      <c r="B74" s="1392" t="s">
        <v>919</v>
      </c>
      <c r="C74" s="1393">
        <v>6</v>
      </c>
      <c r="D74" s="1394">
        <f t="shared" ref="D74:D75" si="3">ROUND($D$2*C74,0)</f>
        <v>36000</v>
      </c>
      <c r="E74" s="1395">
        <v>15</v>
      </c>
      <c r="F74" s="1394">
        <f t="shared" ref="F74:F75" si="4">ROUND($F$2*E74,0)</f>
        <v>60000</v>
      </c>
      <c r="G74" s="1396">
        <f t="shared" ref="G74:G75" si="5">D74+F74</f>
        <v>96000</v>
      </c>
    </row>
    <row r="75" spans="1:7">
      <c r="A75" s="1397"/>
      <c r="B75" s="1398" t="s">
        <v>920</v>
      </c>
      <c r="C75" s="1399">
        <v>12</v>
      </c>
      <c r="D75" s="1400">
        <f t="shared" si="3"/>
        <v>72000</v>
      </c>
      <c r="E75" s="1399">
        <v>6</v>
      </c>
      <c r="F75" s="1400">
        <f t="shared" si="4"/>
        <v>24000</v>
      </c>
      <c r="G75" s="1401">
        <f t="shared" si="5"/>
        <v>96000</v>
      </c>
    </row>
    <row r="76" spans="1:7" ht="13.5" thickBot="1">
      <c r="A76" s="1402"/>
      <c r="B76" s="1403" t="s">
        <v>921</v>
      </c>
      <c r="C76" s="1404">
        <f>SUM(C74:C75)</f>
        <v>18</v>
      </c>
      <c r="D76" s="1405">
        <f t="shared" ref="D76:G76" si="6">SUM(D74:D75)</f>
        <v>108000</v>
      </c>
      <c r="E76" s="1404">
        <f t="shared" si="6"/>
        <v>21</v>
      </c>
      <c r="F76" s="1405">
        <f t="shared" si="6"/>
        <v>84000</v>
      </c>
      <c r="G76" s="1406">
        <f t="shared" si="6"/>
        <v>192000</v>
      </c>
    </row>
    <row r="77" spans="1:7" ht="14.25" thickTop="1" thickBot="1">
      <c r="A77" s="1407"/>
      <c r="B77" s="1403" t="s">
        <v>922</v>
      </c>
      <c r="C77" s="1404">
        <f>SUM(C76,C73)</f>
        <v>58</v>
      </c>
      <c r="D77" s="1408">
        <f t="shared" ref="D77:G77" si="7">SUM(D76,D73)</f>
        <v>348000</v>
      </c>
      <c r="E77" s="1404">
        <f t="shared" si="7"/>
        <v>77</v>
      </c>
      <c r="F77" s="1409">
        <f t="shared" si="7"/>
        <v>308000</v>
      </c>
      <c r="G77" s="1410">
        <f t="shared" si="7"/>
        <v>656000</v>
      </c>
    </row>
    <row r="78" spans="1:7" s="1414" customFormat="1" ht="13.5" thickTop="1">
      <c r="A78" s="1411"/>
      <c r="B78" s="1412"/>
      <c r="C78" s="1413"/>
      <c r="D78" s="1413"/>
    </row>
    <row r="79" spans="1:7" s="1414" customFormat="1">
      <c r="A79" s="1415"/>
      <c r="B79" s="1416"/>
      <c r="C79" s="1413"/>
      <c r="D79" s="1413"/>
    </row>
    <row r="80" spans="1:7" s="1414" customFormat="1">
      <c r="A80" s="1415"/>
      <c r="B80" s="1416"/>
      <c r="C80" s="1413"/>
      <c r="D80" s="1413"/>
    </row>
    <row r="81" spans="1:4" s="1414" customFormat="1">
      <c r="A81" s="1413"/>
      <c r="B81" s="1413"/>
      <c r="C81" s="1413"/>
      <c r="D81" s="1413"/>
    </row>
    <row r="82" spans="1:4" s="1414" customFormat="1">
      <c r="A82" s="1413"/>
      <c r="B82" s="1413"/>
      <c r="C82" s="1413"/>
      <c r="D82" s="1413"/>
    </row>
    <row r="83" spans="1:4" s="1414" customFormat="1">
      <c r="A83" s="1413"/>
      <c r="B83" s="1413"/>
      <c r="C83" s="1413"/>
      <c r="D83" s="1413"/>
    </row>
  </sheetData>
  <mergeCells count="3">
    <mergeCell ref="C1:C2"/>
    <mergeCell ref="E1:E2"/>
    <mergeCell ref="G1:G2"/>
  </mergeCells>
  <printOptions horizontalCentered="1"/>
  <pageMargins left="0.75" right="0.75" top="1.32" bottom="0.35" header="0.52" footer="0.35"/>
  <pageSetup paperSize="5" scale="80" firstPageNumber="35" orientation="portrait" useFirstPageNumber="1" r:id="rId1"/>
  <headerFooter alignWithMargins="0">
    <oddHeader>&amp;L&amp;"Arial,Bold"&amp;18Table 4A: &amp;20 &amp;18FY2013-14 Budget Letter&amp;20 &amp;"Arial,Regular"&amp;10
&amp;18Foreign Associate Teacher Stipends (Preliminary)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BreakPreview" topLeftCell="A7" zoomScale="80" zoomScaleNormal="75" zoomScaleSheetLayoutView="80" workbookViewId="0">
      <selection activeCell="I4" sqref="I4"/>
    </sheetView>
  </sheetViews>
  <sheetFormatPr defaultRowHeight="12.75"/>
  <cols>
    <col min="1" max="1" width="21.5703125" customWidth="1"/>
    <col min="2" max="2" width="15" customWidth="1"/>
    <col min="3" max="3" width="14" customWidth="1"/>
    <col min="4" max="4" width="20.7109375" customWidth="1"/>
    <col min="5" max="5" width="18.5703125" customWidth="1"/>
    <col min="6" max="6" width="16.42578125" customWidth="1"/>
    <col min="7" max="7" width="15.7109375" customWidth="1"/>
    <col min="8" max="8" width="18.140625" customWidth="1"/>
    <col min="9" max="10" width="16.28515625" customWidth="1"/>
    <col min="11" max="11" width="13.42578125" customWidth="1"/>
  </cols>
  <sheetData>
    <row r="1" spans="1:10" s="2" customFormat="1" ht="33" customHeight="1">
      <c r="A1" s="1657" t="s">
        <v>978</v>
      </c>
      <c r="B1" s="1657"/>
      <c r="C1" s="1657"/>
      <c r="D1" s="1657"/>
      <c r="E1" s="1657"/>
      <c r="F1" s="1657"/>
      <c r="G1" s="1657"/>
    </row>
    <row r="2" spans="1:10" ht="11.25" hidden="1" customHeight="1">
      <c r="B2" s="73" t="s">
        <v>74</v>
      </c>
      <c r="C2" s="73"/>
      <c r="D2" s="74" t="s">
        <v>200</v>
      </c>
      <c r="E2" s="121"/>
      <c r="F2" s="35"/>
      <c r="G2" s="35"/>
    </row>
    <row r="3" spans="1:10" ht="26.25" customHeight="1">
      <c r="A3" s="1657" t="s">
        <v>466</v>
      </c>
      <c r="B3" s="1657"/>
      <c r="C3" s="1657"/>
      <c r="D3" s="1657"/>
      <c r="E3" s="1657"/>
      <c r="F3" s="1657"/>
      <c r="G3" s="1657"/>
    </row>
    <row r="4" spans="1:10" ht="32.25" customHeight="1">
      <c r="B4" s="73"/>
      <c r="C4" s="73"/>
      <c r="D4" s="712"/>
      <c r="E4" s="711"/>
      <c r="F4" s="711"/>
      <c r="G4" s="711"/>
    </row>
    <row r="5" spans="1:10" ht="99" customHeight="1">
      <c r="A5" s="1583" t="s">
        <v>193</v>
      </c>
      <c r="B5" s="1583" t="s">
        <v>591</v>
      </c>
      <c r="C5" s="67" t="s">
        <v>212</v>
      </c>
      <c r="D5" s="1590" t="s">
        <v>651</v>
      </c>
      <c r="E5" s="1655" t="s">
        <v>371</v>
      </c>
      <c r="F5" s="1655" t="s">
        <v>363</v>
      </c>
      <c r="G5" s="1590" t="s">
        <v>652</v>
      </c>
      <c r="H5" s="1653" t="s">
        <v>605</v>
      </c>
      <c r="I5" s="1590" t="s">
        <v>653</v>
      </c>
      <c r="J5" s="1583" t="s">
        <v>539</v>
      </c>
    </row>
    <row r="6" spans="1:10" ht="46.5" customHeight="1">
      <c r="A6" s="1585"/>
      <c r="B6" s="1585"/>
      <c r="C6" s="571" t="s">
        <v>741</v>
      </c>
      <c r="D6" s="1582"/>
      <c r="E6" s="1656"/>
      <c r="F6" s="1656"/>
      <c r="G6" s="1582"/>
      <c r="H6" s="1654"/>
      <c r="I6" s="1582"/>
      <c r="J6" s="1585"/>
    </row>
    <row r="7" spans="1:10">
      <c r="A7" s="114"/>
      <c r="B7" s="222">
        <v>1</v>
      </c>
      <c r="C7" s="222">
        <f t="shared" ref="C7:H7" si="0">B7+1</f>
        <v>2</v>
      </c>
      <c r="D7" s="222">
        <f t="shared" si="0"/>
        <v>3</v>
      </c>
      <c r="E7" s="222">
        <f t="shared" si="0"/>
        <v>4</v>
      </c>
      <c r="F7" s="222">
        <f t="shared" si="0"/>
        <v>5</v>
      </c>
      <c r="G7" s="222">
        <f t="shared" si="0"/>
        <v>6</v>
      </c>
      <c r="H7" s="222">
        <f t="shared" si="0"/>
        <v>7</v>
      </c>
      <c r="I7" s="222">
        <f>H7+1</f>
        <v>8</v>
      </c>
      <c r="J7" s="222">
        <f>I7+1</f>
        <v>9</v>
      </c>
    </row>
    <row r="8" spans="1:10" ht="25.5">
      <c r="A8" s="224" t="s">
        <v>244</v>
      </c>
      <c r="B8" s="223">
        <f>'[9]ALL-Reformatted'!$AF$77</f>
        <v>1376</v>
      </c>
      <c r="C8" s="58">
        <f>'Table 3 Levels 1&amp;2'!AL77</f>
        <v>4355.8307194085073</v>
      </c>
      <c r="D8" s="58">
        <f>B8*ROUND(C8,0)</f>
        <v>5993856</v>
      </c>
      <c r="E8" s="58">
        <f>'[10]Table 5A Lab Schools'!$G$8+'[10]Table 5A Lab Schools'!$K$8+'[10]Table 5A Lab Schools'!$D$17+'[10]Table 4 Level 3'!$C$75</f>
        <v>605.97185873605952</v>
      </c>
      <c r="F8" s="58">
        <f>E8*B8</f>
        <v>833817.27762081788</v>
      </c>
      <c r="G8" s="569">
        <f>D8+F8</f>
        <v>6827673.2776208175</v>
      </c>
      <c r="H8" s="58">
        <v>0</v>
      </c>
      <c r="I8" s="569">
        <f>SUM(G8:H8)</f>
        <v>6827673.2776208175</v>
      </c>
      <c r="J8" s="58">
        <f>I8/12</f>
        <v>568972.77313506813</v>
      </c>
    </row>
    <row r="9" spans="1:10" ht="25.5">
      <c r="A9" s="225" t="s">
        <v>245</v>
      </c>
      <c r="B9" s="223">
        <f>'[9]ALL-Reformatted'!$AG$77</f>
        <v>391</v>
      </c>
      <c r="C9" s="58">
        <f>'Table 3 Levels 1&amp;2'!AL77</f>
        <v>4355.8307194085073</v>
      </c>
      <c r="D9" s="58">
        <f>B9*ROUND(C9,0)</f>
        <v>1703196</v>
      </c>
      <c r="E9" s="58">
        <f>'[10]Table 5A Lab Schools'!$G$9+'[10]Table 5A Lab Schools'!$K$9+'[10]Table 5A Lab Schools'!$D$18+'[10]Table 4 Level 3'!$C$75</f>
        <v>699.89832861189802</v>
      </c>
      <c r="F9" s="58">
        <f>E9*B9</f>
        <v>273660.24648725212</v>
      </c>
      <c r="G9" s="569">
        <f>D9+F9</f>
        <v>1976856.2464872522</v>
      </c>
      <c r="H9" s="58">
        <f>'[2]Adjusted Amounts'!$I$79</f>
        <v>2515.1664215795245</v>
      </c>
      <c r="I9" s="569">
        <f>SUM(G9:H9)</f>
        <v>1979371.4129088316</v>
      </c>
      <c r="J9" s="58">
        <f>I9/12</f>
        <v>164947.61774240262</v>
      </c>
    </row>
    <row r="10" spans="1:10" s="8" customFormat="1" ht="25.5" customHeight="1" thickBot="1">
      <c r="A10" s="43" t="s">
        <v>175</v>
      </c>
      <c r="B10" s="76">
        <f>SUM(B8:B9)</f>
        <v>1767</v>
      </c>
      <c r="C10" s="45"/>
      <c r="D10" s="44">
        <f>SUM(D8:D9)</f>
        <v>7697052</v>
      </c>
      <c r="E10" s="44"/>
      <c r="F10" s="44">
        <f t="shared" ref="F10:J10" si="1">SUM(F8:F9)</f>
        <v>1107477.5241080699</v>
      </c>
      <c r="G10" s="570">
        <f t="shared" si="1"/>
        <v>8804529.524108069</v>
      </c>
      <c r="H10" s="44">
        <f>SUM(H8:H9)</f>
        <v>2515.1664215795245</v>
      </c>
      <c r="I10" s="570">
        <f t="shared" si="1"/>
        <v>8807044.6905296482</v>
      </c>
      <c r="J10" s="44">
        <f t="shared" si="1"/>
        <v>733920.39087747072</v>
      </c>
    </row>
    <row r="11" spans="1:10" s="8" customFormat="1" ht="13.5" thickTop="1">
      <c r="A11" s="94"/>
      <c r="B11" s="95"/>
      <c r="C11" s="96"/>
      <c r="D11" s="97"/>
    </row>
    <row r="12" spans="1:10" s="8" customFormat="1">
      <c r="A12" s="94"/>
      <c r="B12" s="95"/>
      <c r="C12" s="96"/>
      <c r="D12" s="97"/>
    </row>
    <row r="14" spans="1:10" ht="27">
      <c r="A14" s="1657" t="s">
        <v>902</v>
      </c>
      <c r="B14" s="1657"/>
      <c r="C14" s="1657"/>
      <c r="D14" s="1657"/>
      <c r="E14" s="1657"/>
      <c r="F14" s="1657"/>
      <c r="G14" s="1657"/>
      <c r="H14" s="8"/>
      <c r="I14" s="8"/>
      <c r="J14" s="8"/>
    </row>
    <row r="16" spans="1:10" ht="51" customHeight="1">
      <c r="A16" s="1659" t="s">
        <v>193</v>
      </c>
      <c r="B16" s="1583" t="s">
        <v>591</v>
      </c>
      <c r="C16" s="1344" t="s">
        <v>212</v>
      </c>
      <c r="D16" s="1580" t="s">
        <v>903</v>
      </c>
      <c r="E16" s="1660" t="s">
        <v>371</v>
      </c>
      <c r="F16" s="1660" t="s">
        <v>363</v>
      </c>
      <c r="G16" s="1580" t="s">
        <v>904</v>
      </c>
      <c r="H16" s="1658" t="s">
        <v>909</v>
      </c>
      <c r="I16" s="1580" t="s">
        <v>905</v>
      </c>
      <c r="J16" s="1659" t="s">
        <v>906</v>
      </c>
    </row>
    <row r="17" spans="1:10" ht="76.5" customHeight="1">
      <c r="A17" s="1585"/>
      <c r="B17" s="1585"/>
      <c r="C17" s="571" t="s">
        <v>742</v>
      </c>
      <c r="D17" s="1582"/>
      <c r="E17" s="1656"/>
      <c r="F17" s="1656"/>
      <c r="G17" s="1582"/>
      <c r="H17" s="1654"/>
      <c r="I17" s="1582"/>
      <c r="J17" s="1585"/>
    </row>
    <row r="18" spans="1:10">
      <c r="A18" s="1345"/>
      <c r="B18" s="1346">
        <v>1</v>
      </c>
      <c r="C18" s="1346">
        <f t="shared" ref="C18:J18" si="2">B18+1</f>
        <v>2</v>
      </c>
      <c r="D18" s="1346">
        <f t="shared" si="2"/>
        <v>3</v>
      </c>
      <c r="E18" s="1346">
        <f t="shared" si="2"/>
        <v>4</v>
      </c>
      <c r="F18" s="1346">
        <f t="shared" si="2"/>
        <v>5</v>
      </c>
      <c r="G18" s="1346">
        <f t="shared" si="2"/>
        <v>6</v>
      </c>
      <c r="H18" s="1346">
        <f t="shared" si="2"/>
        <v>7</v>
      </c>
      <c r="I18" s="1346">
        <f t="shared" si="2"/>
        <v>8</v>
      </c>
      <c r="J18" s="1346">
        <f t="shared" si="2"/>
        <v>9</v>
      </c>
    </row>
    <row r="19" spans="1:10" ht="51">
      <c r="A19" s="224" t="s">
        <v>907</v>
      </c>
      <c r="B19" s="1347">
        <v>275</v>
      </c>
      <c r="C19" s="58">
        <f>'Table 3 Levels 1&amp;2'!AL77</f>
        <v>4355.8307194085073</v>
      </c>
      <c r="D19" s="58">
        <f>B19*ROUND(C19,0)</f>
        <v>1197900</v>
      </c>
      <c r="E19" s="58">
        <f>'Table 4 Level 3'!P75</f>
        <v>704.49059912051428</v>
      </c>
      <c r="F19" s="58">
        <f>E19*B19</f>
        <v>193734.91475814141</v>
      </c>
      <c r="G19" s="569">
        <f>D19+F19</f>
        <v>1391634.9147581414</v>
      </c>
      <c r="H19" s="58">
        <v>0</v>
      </c>
      <c r="I19" s="569">
        <f>SUM(G19:H19)</f>
        <v>1391634.9147581414</v>
      </c>
      <c r="J19" s="58">
        <f>I19/12</f>
        <v>115969.57622984512</v>
      </c>
    </row>
    <row r="20" spans="1:10" ht="38.25">
      <c r="A20" s="1348" t="s">
        <v>908</v>
      </c>
      <c r="B20" s="1347">
        <v>114</v>
      </c>
      <c r="C20" s="58">
        <f>'Table 3 Levels 1&amp;2'!AL77</f>
        <v>4355.8307194085073</v>
      </c>
      <c r="D20" s="58">
        <f>B20*ROUND(C20,0)</f>
        <v>496584</v>
      </c>
      <c r="E20" s="58">
        <f>'Table 4 Level 3'!P75</f>
        <v>704.49059912051428</v>
      </c>
      <c r="F20" s="58">
        <f>E20*B20</f>
        <v>80311.928299738633</v>
      </c>
      <c r="G20" s="569">
        <f>D20+F20</f>
        <v>576895.92829973868</v>
      </c>
      <c r="H20" s="58">
        <v>0</v>
      </c>
      <c r="I20" s="569">
        <f>SUM(G20:H20)</f>
        <v>576895.92829973868</v>
      </c>
      <c r="J20" s="58">
        <f>I20/12</f>
        <v>48074.660691644887</v>
      </c>
    </row>
    <row r="21" spans="1:10" ht="13.5" thickBot="1">
      <c r="A21" s="1349" t="s">
        <v>175</v>
      </c>
      <c r="B21" s="1350">
        <f>SUM(B19:B20)</f>
        <v>389</v>
      </c>
      <c r="C21" s="1351"/>
      <c r="D21" s="1352">
        <f>SUM(D19:D20)</f>
        <v>1694484</v>
      </c>
      <c r="E21" s="1352"/>
      <c r="F21" s="1352">
        <f>SUM(F19:F20)</f>
        <v>274046.84305788006</v>
      </c>
      <c r="G21" s="1353">
        <f>SUM(G19:G20)</f>
        <v>1968530.8430578802</v>
      </c>
      <c r="H21" s="1352">
        <f>SUM(H19:H20)</f>
        <v>0</v>
      </c>
      <c r="I21" s="1353">
        <f>SUM(I19:I20)</f>
        <v>1968530.8430578802</v>
      </c>
      <c r="J21" s="1352">
        <f>SUM(J19:J20)</f>
        <v>164044.23692149</v>
      </c>
    </row>
    <row r="22" spans="1:10" ht="13.5" thickTop="1"/>
  </sheetData>
  <mergeCells count="21">
    <mergeCell ref="H16:H17"/>
    <mergeCell ref="I16:I17"/>
    <mergeCell ref="J16:J17"/>
    <mergeCell ref="A14:G14"/>
    <mergeCell ref="A16:A17"/>
    <mergeCell ref="B16:B17"/>
    <mergeCell ref="D16:D17"/>
    <mergeCell ref="E16:E17"/>
    <mergeCell ref="F16:F17"/>
    <mergeCell ref="G16:G17"/>
    <mergeCell ref="A1:G1"/>
    <mergeCell ref="A5:A6"/>
    <mergeCell ref="A3:G3"/>
    <mergeCell ref="B5:B6"/>
    <mergeCell ref="D5:D6"/>
    <mergeCell ref="F5:F6"/>
    <mergeCell ref="I5:I6"/>
    <mergeCell ref="J5:J6"/>
    <mergeCell ref="H5:H6"/>
    <mergeCell ref="E5:E6"/>
    <mergeCell ref="G5:G6"/>
  </mergeCells>
  <phoneticPr fontId="0" type="noConversion"/>
  <printOptions horizontalCentered="1"/>
  <pageMargins left="0.25" right="0" top="0.25" bottom="0.25" header="0.25" footer="0.25"/>
  <pageSetup paperSize="5" scale="80" firstPageNumber="37" orientation="landscape" useFirstPageNumber="1" r:id="rId1"/>
  <headerFooter alignWithMargins="0">
    <oddHeader xml:space="preserve">&amp;R
</oddHeader>
    <oddFooter>&amp;R&amp;12&amp;P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3"/>
  <sheetViews>
    <sheetView view="pageBreakPreview" zoomScale="70" zoomScaleNormal="75" zoomScaleSheetLayoutView="70" workbookViewId="0">
      <pane xSplit="2" ySplit="6" topLeftCell="C67" activePane="bottomRight" state="frozen"/>
      <selection activeCell="B3" sqref="B3:B5"/>
      <selection pane="topRight" activeCell="B3" sqref="B3:B5"/>
      <selection pane="bottomLeft" activeCell="B3" sqref="B3:B5"/>
      <selection pane="bottomRight" activeCell="T57" sqref="T57:U59"/>
    </sheetView>
  </sheetViews>
  <sheetFormatPr defaultColWidth="9.140625" defaultRowHeight="12.75"/>
  <cols>
    <col min="1" max="1" width="8.7109375" style="1137" customWidth="1"/>
    <col min="2" max="2" width="36.85546875" style="1137" customWidth="1"/>
    <col min="3" max="3" width="12" style="1137" customWidth="1"/>
    <col min="4" max="4" width="14.5703125" style="1137" bestFit="1" customWidth="1"/>
    <col min="5" max="5" width="17.5703125" style="1137" bestFit="1" customWidth="1"/>
    <col min="6" max="6" width="19.42578125" style="1137" customWidth="1"/>
    <col min="7" max="7" width="17" style="1137" bestFit="1" customWidth="1"/>
    <col min="8" max="8" width="18.42578125" style="1137" bestFit="1" customWidth="1"/>
    <col min="9" max="9" width="15.85546875" style="1137" customWidth="1"/>
    <col min="10" max="10" width="18.85546875" style="1137" customWidth="1"/>
    <col min="11" max="11" width="12.140625" style="1137" customWidth="1"/>
    <col min="12" max="12" width="18.42578125" style="1137" bestFit="1" customWidth="1"/>
    <col min="13" max="13" width="16.42578125" style="1137" bestFit="1" customWidth="1"/>
    <col min="14" max="14" width="13.85546875" style="1137" bestFit="1" customWidth="1"/>
    <col min="15" max="15" width="16.42578125" style="1137" bestFit="1" customWidth="1"/>
    <col min="16" max="16" width="18.42578125" style="1137" bestFit="1" customWidth="1"/>
    <col min="17" max="17" width="13.85546875" style="1137" customWidth="1"/>
    <col min="18" max="18" width="18.42578125" style="1137" bestFit="1" customWidth="1"/>
    <col min="19" max="19" width="16.7109375" style="1137" bestFit="1" customWidth="1"/>
    <col min="20" max="20" width="11.5703125" style="536" bestFit="1" customWidth="1"/>
    <col min="21" max="21" width="17.5703125" style="536" customWidth="1"/>
    <col min="22" max="26" width="9.140625" style="536"/>
    <col min="27" max="16384" width="9.140625" style="1137"/>
  </cols>
  <sheetData>
    <row r="1" spans="1:24" ht="43.5" customHeight="1">
      <c r="A1" s="1673" t="s">
        <v>541</v>
      </c>
      <c r="B1" s="1674"/>
      <c r="C1" s="1674"/>
      <c r="D1" s="1674"/>
      <c r="E1" s="1674"/>
      <c r="F1" s="1674"/>
      <c r="G1" s="1674"/>
      <c r="H1" s="1674"/>
      <c r="I1" s="1674"/>
      <c r="J1" s="1675"/>
    </row>
    <row r="2" spans="1:24" ht="10.5" customHeight="1">
      <c r="A2" s="1210"/>
      <c r="B2" s="1210"/>
      <c r="C2" s="1210"/>
      <c r="D2" s="1210"/>
      <c r="E2" s="1210"/>
      <c r="F2" s="1211"/>
      <c r="G2" s="1211"/>
      <c r="H2" s="1210"/>
      <c r="I2" s="1210"/>
      <c r="J2" s="1210"/>
    </row>
    <row r="3" spans="1:24" ht="39.75" customHeight="1" thickBot="1">
      <c r="C3" s="1138"/>
      <c r="D3" s="1208">
        <f>'Table 3 Levels 1&amp;2'!AL43</f>
        <v>3520.4894337711748</v>
      </c>
      <c r="E3" s="1139"/>
      <c r="F3" s="1682" t="s">
        <v>368</v>
      </c>
      <c r="G3" s="1683"/>
      <c r="H3" s="1139"/>
      <c r="I3" s="1140"/>
      <c r="J3" s="1141"/>
      <c r="K3" s="1141"/>
      <c r="L3" s="1141"/>
      <c r="M3" s="1141"/>
      <c r="N3" s="1141"/>
      <c r="O3" s="1141"/>
      <c r="P3" s="1141"/>
      <c r="Q3" s="1141"/>
      <c r="R3" s="1141"/>
      <c r="S3" s="1141"/>
    </row>
    <row r="4" spans="1:24" ht="112.5" customHeight="1">
      <c r="A4" s="1669" t="s">
        <v>412</v>
      </c>
      <c r="B4" s="1669" t="s">
        <v>185</v>
      </c>
      <c r="C4" s="1669" t="s">
        <v>590</v>
      </c>
      <c r="D4" s="1279" t="s">
        <v>663</v>
      </c>
      <c r="E4" s="1667" t="s">
        <v>657</v>
      </c>
      <c r="F4" s="1669" t="s">
        <v>370</v>
      </c>
      <c r="G4" s="1669" t="s">
        <v>367</v>
      </c>
      <c r="H4" s="1667" t="s">
        <v>658</v>
      </c>
      <c r="I4" s="1671" t="s">
        <v>968</v>
      </c>
      <c r="J4" s="1667" t="s">
        <v>659</v>
      </c>
      <c r="K4" s="1667" t="s">
        <v>973</v>
      </c>
      <c r="L4" s="1678" t="s">
        <v>660</v>
      </c>
      <c r="M4" s="1142" t="s">
        <v>453</v>
      </c>
      <c r="N4" s="1142" t="s">
        <v>453</v>
      </c>
      <c r="O4" s="1680" t="s">
        <v>453</v>
      </c>
      <c r="P4" s="1678" t="s">
        <v>661</v>
      </c>
      <c r="Q4" s="1671" t="s">
        <v>969</v>
      </c>
      <c r="R4" s="1676" t="s">
        <v>662</v>
      </c>
      <c r="S4" s="1678" t="s">
        <v>536</v>
      </c>
    </row>
    <row r="5" spans="1:24" ht="57.75" customHeight="1">
      <c r="A5" s="1670" t="s">
        <v>78</v>
      </c>
      <c r="B5" s="1670"/>
      <c r="C5" s="1670"/>
      <c r="D5" s="1143" t="s">
        <v>742</v>
      </c>
      <c r="E5" s="1668"/>
      <c r="F5" s="1670"/>
      <c r="G5" s="1670"/>
      <c r="H5" s="1668"/>
      <c r="I5" s="1672"/>
      <c r="J5" s="1668"/>
      <c r="K5" s="1668"/>
      <c r="L5" s="1679"/>
      <c r="M5" s="1144">
        <v>1.7500000000000002E-2</v>
      </c>
      <c r="N5" s="1144">
        <v>2.5000000000000001E-3</v>
      </c>
      <c r="O5" s="1681"/>
      <c r="P5" s="1679"/>
      <c r="Q5" s="1672"/>
      <c r="R5" s="1677"/>
      <c r="S5" s="1679"/>
      <c r="U5" s="1209"/>
    </row>
    <row r="6" spans="1:24">
      <c r="A6" s="1145"/>
      <c r="B6" s="1145"/>
      <c r="C6" s="1146">
        <v>1</v>
      </c>
      <c r="D6" s="1146">
        <f t="shared" ref="D6:J6" si="0">C6+1</f>
        <v>2</v>
      </c>
      <c r="E6" s="1146">
        <f t="shared" si="0"/>
        <v>3</v>
      </c>
      <c r="F6" s="1146">
        <f t="shared" si="0"/>
        <v>4</v>
      </c>
      <c r="G6" s="1146">
        <f t="shared" si="0"/>
        <v>5</v>
      </c>
      <c r="H6" s="1146">
        <f t="shared" si="0"/>
        <v>6</v>
      </c>
      <c r="I6" s="1146">
        <f t="shared" si="0"/>
        <v>7</v>
      </c>
      <c r="J6" s="1146">
        <f t="shared" si="0"/>
        <v>8</v>
      </c>
      <c r="K6" s="1146"/>
      <c r="L6" s="1146">
        <f t="shared" ref="L6" si="1">J6+1</f>
        <v>9</v>
      </c>
      <c r="M6" s="1146">
        <f t="shared" ref="M6" si="2">L6+1</f>
        <v>10</v>
      </c>
      <c r="N6" s="1146">
        <f t="shared" ref="N6" si="3">M6+1</f>
        <v>11</v>
      </c>
      <c r="O6" s="1146">
        <f t="shared" ref="O6" si="4">N6+1</f>
        <v>12</v>
      </c>
      <c r="P6" s="1146">
        <f t="shared" ref="P6" si="5">O6+1</f>
        <v>13</v>
      </c>
      <c r="Q6" s="1146">
        <f t="shared" ref="Q6" si="6">P6+1</f>
        <v>14</v>
      </c>
      <c r="R6" s="1146">
        <f t="shared" ref="R6" si="7">Q6+1</f>
        <v>15</v>
      </c>
      <c r="S6" s="1146">
        <f t="shared" ref="S6" si="8">R6+1</f>
        <v>16</v>
      </c>
    </row>
    <row r="7" spans="1:24" ht="30.75">
      <c r="A7" s="1127" t="s">
        <v>406</v>
      </c>
      <c r="B7" s="1128" t="s">
        <v>931</v>
      </c>
      <c r="C7" s="1129">
        <f>'2-1-13 SIS'!C42+'2-1-13 SIS'!R42</f>
        <v>10997</v>
      </c>
      <c r="D7" s="1130">
        <f>$D$3</f>
        <v>3520.4894337711748</v>
      </c>
      <c r="E7" s="1130">
        <f>ROUND(C7*D7,0)</f>
        <v>38714822</v>
      </c>
      <c r="F7" s="1130">
        <v>727.23177743956114</v>
      </c>
      <c r="G7" s="1130">
        <f>F7*C7</f>
        <v>7997367.8565028543</v>
      </c>
      <c r="H7" s="1131">
        <f>E7+G7</f>
        <v>46712189.856502853</v>
      </c>
      <c r="I7" s="1132" t="s">
        <v>65</v>
      </c>
      <c r="J7" s="1133" t="s">
        <v>87</v>
      </c>
      <c r="K7" s="1147"/>
      <c r="L7" s="1133"/>
      <c r="M7" s="1147"/>
      <c r="N7" s="1147"/>
      <c r="O7" s="1147"/>
      <c r="P7" s="1147"/>
      <c r="Q7" s="1147"/>
      <c r="R7" s="1133"/>
      <c r="S7" s="1133"/>
    </row>
    <row r="8" spans="1:24" ht="8.25" customHeight="1">
      <c r="A8" s="1134"/>
      <c r="B8" s="1665"/>
      <c r="C8" s="1666"/>
      <c r="D8" s="1666"/>
      <c r="E8" s="1666"/>
      <c r="F8" s="1666"/>
      <c r="G8" s="1666"/>
      <c r="H8" s="1666"/>
      <c r="I8" s="1666"/>
      <c r="J8" s="1666"/>
      <c r="K8" s="1148"/>
      <c r="L8" s="1665"/>
      <c r="M8" s="1666"/>
      <c r="N8" s="1666"/>
      <c r="O8" s="1666"/>
      <c r="P8" s="1666"/>
      <c r="Q8" s="1666"/>
      <c r="R8" s="1666"/>
      <c r="S8" s="1666"/>
      <c r="T8" s="1666"/>
      <c r="U8" s="1666"/>
      <c r="V8" s="1666"/>
      <c r="W8" s="1666"/>
      <c r="X8" s="1666"/>
    </row>
    <row r="9" spans="1:24" ht="24.75" customHeight="1">
      <c r="A9" s="1135" t="s">
        <v>405</v>
      </c>
      <c r="B9" s="1136" t="s">
        <v>414</v>
      </c>
      <c r="C9" s="1126">
        <f>3759-C30-C32-C41-C68-C20+317+253+346+384</f>
        <v>2381</v>
      </c>
      <c r="D9" s="1130">
        <f>$D$3</f>
        <v>3520.4894337711748</v>
      </c>
      <c r="E9" s="1130">
        <f>ROUND(C9*D9,0)</f>
        <v>8382285</v>
      </c>
      <c r="F9" s="1130">
        <v>797.0524448632965</v>
      </c>
      <c r="G9" s="1130">
        <f>F9*C9</f>
        <v>1897781.871219509</v>
      </c>
      <c r="H9" s="1131">
        <f>E9+G9</f>
        <v>10280066.871219508</v>
      </c>
      <c r="I9" s="1130">
        <f>'[2]Adjusted Amounts'!$I$149</f>
        <v>-322157.92574859853</v>
      </c>
      <c r="J9" s="1131">
        <f>H9+I9</f>
        <v>9957908.9454709105</v>
      </c>
      <c r="K9" s="1149">
        <f>'[11]FY2013-14 Initial'!$D$43</f>
        <v>4673</v>
      </c>
      <c r="L9" s="1131">
        <f>C9*K9</f>
        <v>11126413</v>
      </c>
      <c r="M9" s="1149">
        <f>-M69</f>
        <v>2190241.0774999997</v>
      </c>
      <c r="N9" s="1149"/>
      <c r="O9" s="1149">
        <f>M9+N9</f>
        <v>2190241.0774999997</v>
      </c>
      <c r="P9" s="1149">
        <f>L9+O9</f>
        <v>13316654.077500001</v>
      </c>
      <c r="Q9" s="1130">
        <f>'[12]Adjusted Amounts'!$Q$149</f>
        <v>-73370.5</v>
      </c>
      <c r="R9" s="1131">
        <f>SUM(P9:Q9)</f>
        <v>13243283.577500001</v>
      </c>
      <c r="S9" s="1150">
        <f>R9/12</f>
        <v>1103606.9647916667</v>
      </c>
    </row>
    <row r="10" spans="1:24" ht="8.25" customHeight="1">
      <c r="A10" s="1151"/>
      <c r="B10" s="1665"/>
      <c r="C10" s="1666"/>
      <c r="D10" s="1666"/>
      <c r="E10" s="1666"/>
      <c r="F10" s="1666"/>
      <c r="G10" s="1666"/>
      <c r="H10" s="1666"/>
      <c r="I10" s="1666"/>
      <c r="J10" s="1666"/>
      <c r="K10" s="1148"/>
      <c r="L10" s="1665"/>
      <c r="M10" s="1666"/>
      <c r="N10" s="1666"/>
      <c r="O10" s="1666"/>
      <c r="P10" s="1666"/>
      <c r="Q10" s="1666"/>
      <c r="R10" s="1666"/>
      <c r="S10" s="1666"/>
      <c r="T10" s="1666"/>
      <c r="U10" s="1666"/>
      <c r="V10" s="1666"/>
      <c r="W10" s="1666"/>
      <c r="X10" s="1666"/>
    </row>
    <row r="11" spans="1:24" ht="21" customHeight="1">
      <c r="A11" s="1152"/>
      <c r="B11" s="1153" t="s">
        <v>79</v>
      </c>
      <c r="C11" s="1129"/>
      <c r="D11" s="1130"/>
      <c r="E11" s="1130"/>
      <c r="F11" s="1130"/>
      <c r="G11" s="1130"/>
      <c r="H11" s="1131"/>
      <c r="I11" s="1149"/>
      <c r="J11" s="1131"/>
      <c r="K11" s="1149"/>
      <c r="L11" s="1131"/>
      <c r="M11" s="1149"/>
      <c r="N11" s="1149"/>
      <c r="O11" s="1149"/>
      <c r="P11" s="1149"/>
      <c r="Q11" s="1149"/>
      <c r="R11" s="1131"/>
      <c r="S11" s="1131"/>
    </row>
    <row r="12" spans="1:24" ht="30.75" customHeight="1">
      <c r="A12" s="1472">
        <v>300001</v>
      </c>
      <c r="B12" s="1473" t="s">
        <v>277</v>
      </c>
      <c r="C12" s="1474">
        <f>'[13]RSD-NO by Site'!D5</f>
        <v>398</v>
      </c>
      <c r="D12" s="1475">
        <f t="shared" ref="D12:D68" si="9">$D$3</f>
        <v>3520.4894337711748</v>
      </c>
      <c r="E12" s="1475">
        <f t="shared" ref="E12:E61" si="10">ROUND(C12*D12,0)</f>
        <v>1401155</v>
      </c>
      <c r="F12" s="1476">
        <v>767.72184717013943</v>
      </c>
      <c r="G12" s="1475">
        <f t="shared" ref="G12:G61" si="11">F12*C12</f>
        <v>305553.29517371551</v>
      </c>
      <c r="H12" s="1477">
        <f>E12+G12</f>
        <v>1706708.2951737156</v>
      </c>
      <c r="I12" s="1478">
        <f>'[2]Adjusted Amounts'!I162</f>
        <v>0</v>
      </c>
      <c r="J12" s="1477">
        <f t="shared" ref="J12:J61" si="12">H12+I12</f>
        <v>1706708.2951737156</v>
      </c>
      <c r="K12" s="1478">
        <f>$K$9</f>
        <v>4673</v>
      </c>
      <c r="L12" s="1477">
        <f t="shared" ref="L12:L63" si="13">C12*K12</f>
        <v>1859854</v>
      </c>
      <c r="M12" s="1479">
        <f>-$M$5*L12</f>
        <v>-32547.445000000003</v>
      </c>
      <c r="N12" s="1479">
        <f>-$N$5*L12</f>
        <v>-4649.6350000000002</v>
      </c>
      <c r="O12" s="1478">
        <f>M12+N12</f>
        <v>-37197.08</v>
      </c>
      <c r="P12" s="1478">
        <f t="shared" ref="P12:P63" si="14">L12+O12</f>
        <v>1822656.92</v>
      </c>
      <c r="Q12" s="1478">
        <f>'[12]Adjusted Amounts'!Q162</f>
        <v>0</v>
      </c>
      <c r="R12" s="1477">
        <f t="shared" ref="R12:R63" si="15">SUM(P12:Q12)</f>
        <v>1822656.92</v>
      </c>
      <c r="S12" s="1156">
        <f t="shared" ref="S12:S63" si="16">R12/12</f>
        <v>151888.07666666666</v>
      </c>
    </row>
    <row r="13" spans="1:24" ht="30.75" customHeight="1">
      <c r="A13" s="1480">
        <v>300002</v>
      </c>
      <c r="B13" s="1481" t="s">
        <v>276</v>
      </c>
      <c r="C13" s="1482">
        <f>'[13]RSD-NO by Site'!D6</f>
        <v>456</v>
      </c>
      <c r="D13" s="1483">
        <f t="shared" si="9"/>
        <v>3520.4894337711748</v>
      </c>
      <c r="E13" s="1483">
        <f t="shared" si="10"/>
        <v>1605343</v>
      </c>
      <c r="F13" s="1484">
        <v>730.66950653120466</v>
      </c>
      <c r="G13" s="1483">
        <f t="shared" si="11"/>
        <v>333185.29497822933</v>
      </c>
      <c r="H13" s="1485">
        <f t="shared" ref="H13:H61" si="17">E13+G13</f>
        <v>1938528.2949782293</v>
      </c>
      <c r="I13" s="1486">
        <f>'[2]Adjusted Amounts'!I163</f>
        <v>-14065.621132128788</v>
      </c>
      <c r="J13" s="1485">
        <f t="shared" si="12"/>
        <v>1924462.6738461005</v>
      </c>
      <c r="K13" s="1486">
        <f t="shared" ref="K13:K68" si="18">$K$9</f>
        <v>4673</v>
      </c>
      <c r="L13" s="1485">
        <f t="shared" si="13"/>
        <v>2130888</v>
      </c>
      <c r="M13" s="1487">
        <f t="shared" ref="M13:M63" si="19">-$M$5*L13</f>
        <v>-37290.54</v>
      </c>
      <c r="N13" s="1487">
        <f t="shared" ref="N13:N63" si="20">-$N$5*L13</f>
        <v>-5327.22</v>
      </c>
      <c r="O13" s="1486">
        <f t="shared" ref="O13:O63" si="21">M13+N13</f>
        <v>-42617.760000000002</v>
      </c>
      <c r="P13" s="1486">
        <f t="shared" si="14"/>
        <v>2088270.24</v>
      </c>
      <c r="Q13" s="1486">
        <f>'[12]Adjusted Amounts'!Q163</f>
        <v>0</v>
      </c>
      <c r="R13" s="1485">
        <f t="shared" si="15"/>
        <v>2088270.24</v>
      </c>
      <c r="S13" s="1156">
        <f t="shared" si="16"/>
        <v>174022.52</v>
      </c>
    </row>
    <row r="14" spans="1:24" ht="30.75" customHeight="1">
      <c r="A14" s="1480">
        <v>300003</v>
      </c>
      <c r="B14" s="1481" t="s">
        <v>335</v>
      </c>
      <c r="C14" s="1482">
        <f>'[13]RSD-NO by Site'!D7</f>
        <v>658</v>
      </c>
      <c r="D14" s="1483">
        <f t="shared" si="9"/>
        <v>3520.4894337711748</v>
      </c>
      <c r="E14" s="1483">
        <f t="shared" si="10"/>
        <v>2316482</v>
      </c>
      <c r="F14" s="1484">
        <v>767.72184717013943</v>
      </c>
      <c r="G14" s="1483">
        <f t="shared" si="11"/>
        <v>505160.97543795174</v>
      </c>
      <c r="H14" s="1485">
        <f t="shared" si="17"/>
        <v>2821642.9754379517</v>
      </c>
      <c r="I14" s="1486">
        <f>'[2]Adjusted Amounts'!I164</f>
        <v>-14946.984579716975</v>
      </c>
      <c r="J14" s="1485">
        <f t="shared" si="12"/>
        <v>2806695.9908582349</v>
      </c>
      <c r="K14" s="1486">
        <f t="shared" si="18"/>
        <v>4673</v>
      </c>
      <c r="L14" s="1485">
        <f t="shared" si="13"/>
        <v>3074834</v>
      </c>
      <c r="M14" s="1487">
        <f t="shared" si="19"/>
        <v>-53809.595000000008</v>
      </c>
      <c r="N14" s="1487">
        <f t="shared" si="20"/>
        <v>-7687.085</v>
      </c>
      <c r="O14" s="1486">
        <f t="shared" si="21"/>
        <v>-61496.680000000008</v>
      </c>
      <c r="P14" s="1486">
        <f t="shared" si="14"/>
        <v>3013337.32</v>
      </c>
      <c r="Q14" s="1486">
        <f>'[12]Adjusted Amounts'!Q164</f>
        <v>-12602</v>
      </c>
      <c r="R14" s="1485">
        <f t="shared" si="15"/>
        <v>3000735.32</v>
      </c>
      <c r="S14" s="1156">
        <f t="shared" si="16"/>
        <v>250061.27666666664</v>
      </c>
    </row>
    <row r="15" spans="1:24" ht="30.75" customHeight="1">
      <c r="A15" s="1488">
        <v>300004</v>
      </c>
      <c r="B15" s="1489" t="s">
        <v>373</v>
      </c>
      <c r="C15" s="1482">
        <f>'[13]RSD-NO by Site'!D8</f>
        <v>412</v>
      </c>
      <c r="D15" s="1483">
        <f t="shared" si="9"/>
        <v>3520.4894337711748</v>
      </c>
      <c r="E15" s="1483">
        <f t="shared" si="10"/>
        <v>1450442</v>
      </c>
      <c r="F15" s="1487">
        <v>746.0335616438357</v>
      </c>
      <c r="G15" s="1483">
        <f t="shared" si="11"/>
        <v>307365.82739726029</v>
      </c>
      <c r="H15" s="1485">
        <f t="shared" si="17"/>
        <v>1757807.8273972603</v>
      </c>
      <c r="I15" s="1486">
        <f>'[2]Adjusted Amounts'!I165</f>
        <v>-9433.2933428891047</v>
      </c>
      <c r="J15" s="1485">
        <f t="shared" si="12"/>
        <v>1748374.5340543713</v>
      </c>
      <c r="K15" s="1486">
        <f t="shared" si="18"/>
        <v>4673</v>
      </c>
      <c r="L15" s="1485">
        <f t="shared" si="13"/>
        <v>1925276</v>
      </c>
      <c r="M15" s="1487">
        <f t="shared" si="19"/>
        <v>-33692.33</v>
      </c>
      <c r="N15" s="1487">
        <f t="shared" si="20"/>
        <v>-4813.1900000000005</v>
      </c>
      <c r="O15" s="1486">
        <f t="shared" si="21"/>
        <v>-38505.520000000004</v>
      </c>
      <c r="P15" s="1486">
        <f t="shared" si="14"/>
        <v>1886770.48</v>
      </c>
      <c r="Q15" s="1486">
        <f>'[12]Adjusted Amounts'!Q165</f>
        <v>-10493.5</v>
      </c>
      <c r="R15" s="1485">
        <f t="shared" si="15"/>
        <v>1876276.98</v>
      </c>
      <c r="S15" s="1156">
        <f t="shared" si="16"/>
        <v>156356.41500000001</v>
      </c>
    </row>
    <row r="16" spans="1:24" ht="34.5" customHeight="1">
      <c r="A16" s="1490">
        <v>360001</v>
      </c>
      <c r="B16" s="1491" t="s">
        <v>502</v>
      </c>
      <c r="C16" s="1492">
        <f>'[13]RSD-NO by Site'!D9</f>
        <v>156</v>
      </c>
      <c r="D16" s="1493">
        <f t="shared" si="9"/>
        <v>3520.4894337711748</v>
      </c>
      <c r="E16" s="1493">
        <f t="shared" si="10"/>
        <v>549196</v>
      </c>
      <c r="F16" s="1494">
        <v>746.0335616438357</v>
      </c>
      <c r="G16" s="1493">
        <f t="shared" si="11"/>
        <v>116381.23561643837</v>
      </c>
      <c r="H16" s="1495">
        <f t="shared" si="17"/>
        <v>665577.23561643832</v>
      </c>
      <c r="I16" s="1496">
        <f>'[2]Adjusted Amounts'!I166</f>
        <v>0</v>
      </c>
      <c r="J16" s="1495">
        <f t="shared" si="12"/>
        <v>665577.23561643832</v>
      </c>
      <c r="K16" s="1496">
        <f t="shared" si="18"/>
        <v>4673</v>
      </c>
      <c r="L16" s="1495">
        <f t="shared" si="13"/>
        <v>728988</v>
      </c>
      <c r="M16" s="1494">
        <f t="shared" si="19"/>
        <v>-12757.29</v>
      </c>
      <c r="N16" s="1494">
        <f t="shared" si="20"/>
        <v>-1822.47</v>
      </c>
      <c r="O16" s="1496">
        <f t="shared" si="21"/>
        <v>-14579.76</v>
      </c>
      <c r="P16" s="1496">
        <f t="shared" si="14"/>
        <v>714408.24</v>
      </c>
      <c r="Q16" s="1496">
        <f>'[12]Adjusted Amounts'!Q166</f>
        <v>0</v>
      </c>
      <c r="R16" s="1495">
        <f t="shared" si="15"/>
        <v>714408.24</v>
      </c>
      <c r="S16" s="1156">
        <f t="shared" si="16"/>
        <v>59534.02</v>
      </c>
    </row>
    <row r="17" spans="1:19" ht="40.5">
      <c r="A17" s="1472">
        <v>361001</v>
      </c>
      <c r="B17" s="1473" t="s">
        <v>522</v>
      </c>
      <c r="C17" s="1497">
        <f>'[13]RSD-NO by Site'!D10</f>
        <v>163</v>
      </c>
      <c r="D17" s="1475">
        <f t="shared" si="9"/>
        <v>3520.4894337711748</v>
      </c>
      <c r="E17" s="1475">
        <f>ROUND(C17*D17,0)</f>
        <v>573840</v>
      </c>
      <c r="F17" s="1476">
        <v>746.0335616438357</v>
      </c>
      <c r="G17" s="1475">
        <f>F17*C17</f>
        <v>121603.47054794522</v>
      </c>
      <c r="H17" s="1477">
        <f>E17+G17</f>
        <v>695443.47054794524</v>
      </c>
      <c r="I17" s="1478">
        <f>'[2]Adjusted Amounts'!I167</f>
        <v>0</v>
      </c>
      <c r="J17" s="1477">
        <f>H17+I17</f>
        <v>695443.47054794524</v>
      </c>
      <c r="K17" s="1478">
        <f>'[11]FY2013-14 Initial'!$K$43</f>
        <v>5442</v>
      </c>
      <c r="L17" s="1477">
        <f>C17*K17</f>
        <v>887046</v>
      </c>
      <c r="M17" s="1479">
        <f>-$M$5*L17</f>
        <v>-15523.305000000002</v>
      </c>
      <c r="N17" s="1479">
        <f>-$N$5*L17</f>
        <v>-2217.6150000000002</v>
      </c>
      <c r="O17" s="1478">
        <f>M17+N17</f>
        <v>-17740.920000000002</v>
      </c>
      <c r="P17" s="1478">
        <f>L17+O17</f>
        <v>869305.08</v>
      </c>
      <c r="Q17" s="1478">
        <f>'[12]Adjusted Amounts'!Q167</f>
        <v>0</v>
      </c>
      <c r="R17" s="1477">
        <f>SUM(P17:Q17)</f>
        <v>869305.08</v>
      </c>
      <c r="S17" s="1477">
        <f>R17/12</f>
        <v>72442.09</v>
      </c>
    </row>
    <row r="18" spans="1:19" ht="34.5" customHeight="1">
      <c r="A18" s="1480">
        <v>362001</v>
      </c>
      <c r="B18" s="1481" t="s">
        <v>448</v>
      </c>
      <c r="C18" s="1498">
        <f>'[13]RSD-NO by Site'!D11</f>
        <v>377</v>
      </c>
      <c r="D18" s="1483">
        <f t="shared" si="9"/>
        <v>3520.4894337711748</v>
      </c>
      <c r="E18" s="1483">
        <f>ROUND(C18*D18,0)</f>
        <v>1327225</v>
      </c>
      <c r="F18" s="1484">
        <v>746.0335616438357</v>
      </c>
      <c r="G18" s="1483">
        <f>F18*C18</f>
        <v>281254.65273972607</v>
      </c>
      <c r="H18" s="1485">
        <f>E18+G18</f>
        <v>1608479.652739726</v>
      </c>
      <c r="I18" s="1486">
        <f>'[2]Adjusted Amounts'!I168</f>
        <v>-113097.28260242619</v>
      </c>
      <c r="J18" s="1485">
        <f>H18+I18</f>
        <v>1495382.3701372999</v>
      </c>
      <c r="K18" s="1486">
        <f t="shared" si="18"/>
        <v>4673</v>
      </c>
      <c r="L18" s="1485">
        <f>C18*K18</f>
        <v>1761721</v>
      </c>
      <c r="M18" s="1487">
        <f>-$M$5*L18</f>
        <v>-30830.117500000004</v>
      </c>
      <c r="N18" s="1487">
        <f>-$N$5*L18</f>
        <v>-4404.3024999999998</v>
      </c>
      <c r="O18" s="1486">
        <f>M18+N18</f>
        <v>-35234.420000000006</v>
      </c>
      <c r="P18" s="1486">
        <f>L18+O18</f>
        <v>1726486.58</v>
      </c>
      <c r="Q18" s="1486">
        <f>'[12]Adjusted Amounts'!Q168</f>
        <v>-113292</v>
      </c>
      <c r="R18" s="1485">
        <f>SUM(P18:Q18)</f>
        <v>1613194.58</v>
      </c>
      <c r="S18" s="1485">
        <f>R18/12</f>
        <v>134432.88166666668</v>
      </c>
    </row>
    <row r="19" spans="1:19" ht="30.75" customHeight="1">
      <c r="A19" s="1488">
        <v>363001</v>
      </c>
      <c r="B19" s="1489" t="s">
        <v>446</v>
      </c>
      <c r="C19" s="1482">
        <f>'[13]RSD-NO by Site'!D12</f>
        <v>530</v>
      </c>
      <c r="D19" s="1483">
        <f t="shared" si="9"/>
        <v>3520.4894337711748</v>
      </c>
      <c r="E19" s="1483">
        <f t="shared" ref="E19:E29" si="22">ROUND(C19*D19,0)</f>
        <v>1865859</v>
      </c>
      <c r="F19" s="1484">
        <v>746.0335616438357</v>
      </c>
      <c r="G19" s="1483">
        <f t="shared" ref="G19:G29" si="23">F19*C19</f>
        <v>395397.78767123295</v>
      </c>
      <c r="H19" s="1485">
        <f t="shared" ref="H19:H29" si="24">E19+G19</f>
        <v>2261256.7876712331</v>
      </c>
      <c r="I19" s="1486">
        <f>'[2]Adjusted Amounts'!I169</f>
        <v>-31062.573315865986</v>
      </c>
      <c r="J19" s="1485">
        <f t="shared" ref="J19:J29" si="25">H19+I19</f>
        <v>2230194.2143553672</v>
      </c>
      <c r="K19" s="1486">
        <f t="shared" si="18"/>
        <v>4673</v>
      </c>
      <c r="L19" s="1485">
        <f t="shared" si="13"/>
        <v>2476690</v>
      </c>
      <c r="M19" s="1487">
        <f t="shared" si="19"/>
        <v>-43342.075000000004</v>
      </c>
      <c r="N19" s="1487">
        <f t="shared" si="20"/>
        <v>-6191.7250000000004</v>
      </c>
      <c r="O19" s="1486">
        <f t="shared" si="21"/>
        <v>-49533.8</v>
      </c>
      <c r="P19" s="1486">
        <f t="shared" si="14"/>
        <v>2427156.2000000002</v>
      </c>
      <c r="Q19" s="1486">
        <f>'[12]Adjusted Amounts'!Q169</f>
        <v>-27298.5</v>
      </c>
      <c r="R19" s="1485">
        <f t="shared" si="15"/>
        <v>2399857.7000000002</v>
      </c>
      <c r="S19" s="1485">
        <f t="shared" si="16"/>
        <v>199988.14166666669</v>
      </c>
    </row>
    <row r="20" spans="1:19" ht="30.75" customHeight="1">
      <c r="A20" s="1499">
        <v>363002</v>
      </c>
      <c r="B20" s="1500" t="s">
        <v>927</v>
      </c>
      <c r="C20" s="1501">
        <v>460</v>
      </c>
      <c r="D20" s="1483">
        <f t="shared" si="9"/>
        <v>3520.4894337711748</v>
      </c>
      <c r="E20" s="1483">
        <f>ROUND(C20*D20,0)</f>
        <v>1619425</v>
      </c>
      <c r="F20" s="1484">
        <v>746.0335616438357</v>
      </c>
      <c r="G20" s="1483">
        <f>F20*C20</f>
        <v>343175.43835616444</v>
      </c>
      <c r="H20" s="1485">
        <f>E20+G20</f>
        <v>1962600.4383561644</v>
      </c>
      <c r="I20" s="1486">
        <v>0</v>
      </c>
      <c r="J20" s="1485">
        <f>H20+I20</f>
        <v>1962600.4383561644</v>
      </c>
      <c r="K20" s="1486">
        <f t="shared" si="18"/>
        <v>4673</v>
      </c>
      <c r="L20" s="1485">
        <f>C20*K20</f>
        <v>2149580</v>
      </c>
      <c r="M20" s="1487">
        <f>-$M$5*L20</f>
        <v>-37617.65</v>
      </c>
      <c r="N20" s="1487">
        <f>-$N$5*L20</f>
        <v>-5373.95</v>
      </c>
      <c r="O20" s="1486">
        <f>M20+N20</f>
        <v>-42991.6</v>
      </c>
      <c r="P20" s="1486">
        <f>L20+O20</f>
        <v>2106588.4</v>
      </c>
      <c r="Q20" s="1486">
        <v>0</v>
      </c>
      <c r="R20" s="1485">
        <f>SUM(P20:Q20)</f>
        <v>2106588.4</v>
      </c>
      <c r="S20" s="1485">
        <f>R20/12</f>
        <v>175549.03333333333</v>
      </c>
    </row>
    <row r="21" spans="1:19" ht="30.75" customHeight="1">
      <c r="A21" s="1502">
        <v>364001</v>
      </c>
      <c r="B21" s="1503" t="s">
        <v>447</v>
      </c>
      <c r="C21" s="1504">
        <f>'[13]RSD-NO by Site'!D13</f>
        <v>523</v>
      </c>
      <c r="D21" s="1493">
        <f t="shared" si="9"/>
        <v>3520.4894337711748</v>
      </c>
      <c r="E21" s="1493">
        <f t="shared" si="22"/>
        <v>1841216</v>
      </c>
      <c r="F21" s="1505">
        <v>746.0335616438357</v>
      </c>
      <c r="G21" s="1493">
        <f t="shared" si="23"/>
        <v>390175.55273972609</v>
      </c>
      <c r="H21" s="1495">
        <f t="shared" si="24"/>
        <v>2231391.5527397259</v>
      </c>
      <c r="I21" s="1496">
        <f>'[2]Adjusted Amounts'!I170</f>
        <v>0</v>
      </c>
      <c r="J21" s="1495">
        <f t="shared" si="25"/>
        <v>2231391.5527397259</v>
      </c>
      <c r="K21" s="1496">
        <f t="shared" si="18"/>
        <v>4673</v>
      </c>
      <c r="L21" s="1495">
        <f t="shared" si="13"/>
        <v>2443979</v>
      </c>
      <c r="M21" s="1494">
        <f t="shared" si="19"/>
        <v>-42769.632500000007</v>
      </c>
      <c r="N21" s="1494">
        <f t="shared" si="20"/>
        <v>-6109.9475000000002</v>
      </c>
      <c r="O21" s="1496">
        <f t="shared" si="21"/>
        <v>-48879.580000000009</v>
      </c>
      <c r="P21" s="1496">
        <f t="shared" si="14"/>
        <v>2395099.42</v>
      </c>
      <c r="Q21" s="1496">
        <v>0</v>
      </c>
      <c r="R21" s="1495">
        <f t="shared" si="15"/>
        <v>2395099.42</v>
      </c>
      <c r="S21" s="1495">
        <f t="shared" si="16"/>
        <v>199591.61833333332</v>
      </c>
    </row>
    <row r="22" spans="1:19" ht="47.25" customHeight="1">
      <c r="A22" s="1506">
        <v>366001</v>
      </c>
      <c r="B22" s="1507" t="s">
        <v>486</v>
      </c>
      <c r="C22" s="1474">
        <f>'[13]RSD-NO by Site'!D14</f>
        <v>121</v>
      </c>
      <c r="D22" s="1475">
        <f t="shared" si="9"/>
        <v>3520.4894337711748</v>
      </c>
      <c r="E22" s="1475">
        <f t="shared" si="22"/>
        <v>425979</v>
      </c>
      <c r="F22" s="1476">
        <v>746.0335616438357</v>
      </c>
      <c r="G22" s="1475">
        <f t="shared" si="23"/>
        <v>90270.060958904112</v>
      </c>
      <c r="H22" s="1477">
        <f t="shared" si="24"/>
        <v>516249.0609589041</v>
      </c>
      <c r="I22" s="1478">
        <f>'[2]Adjusted Amounts'!I171</f>
        <v>-1055.7168538204842</v>
      </c>
      <c r="J22" s="1477">
        <f t="shared" si="25"/>
        <v>515193.34410508361</v>
      </c>
      <c r="K22" s="1478">
        <f>K17</f>
        <v>5442</v>
      </c>
      <c r="L22" s="1477">
        <f t="shared" si="13"/>
        <v>658482</v>
      </c>
      <c r="M22" s="1479">
        <f t="shared" si="19"/>
        <v>-11523.435000000001</v>
      </c>
      <c r="N22" s="1479">
        <f t="shared" si="20"/>
        <v>-1646.2049999999999</v>
      </c>
      <c r="O22" s="1478">
        <f t="shared" si="21"/>
        <v>-13169.640000000001</v>
      </c>
      <c r="P22" s="1478">
        <f t="shared" si="14"/>
        <v>645312.36</v>
      </c>
      <c r="Q22" s="1478">
        <f>'[12]Adjusted Amounts'!Q171</f>
        <v>-2789.5</v>
      </c>
      <c r="R22" s="1477">
        <f t="shared" si="15"/>
        <v>642522.86</v>
      </c>
      <c r="S22" s="1477">
        <f t="shared" si="16"/>
        <v>53543.571666666663</v>
      </c>
    </row>
    <row r="23" spans="1:19" ht="30.75" customHeight="1">
      <c r="A23" s="1488">
        <v>367001</v>
      </c>
      <c r="B23" s="1489" t="s">
        <v>390</v>
      </c>
      <c r="C23" s="1482">
        <f>'[13]RSD-NO by Site'!D15</f>
        <v>393</v>
      </c>
      <c r="D23" s="1483">
        <f t="shared" si="9"/>
        <v>3520.4894337711748</v>
      </c>
      <c r="E23" s="1483">
        <f t="shared" si="22"/>
        <v>1383552</v>
      </c>
      <c r="F23" s="1484">
        <v>746.0335616438357</v>
      </c>
      <c r="G23" s="1483">
        <f t="shared" si="23"/>
        <v>293191.18972602743</v>
      </c>
      <c r="H23" s="1485">
        <f t="shared" si="24"/>
        <v>1676743.1897260274</v>
      </c>
      <c r="I23" s="1486">
        <f>'[2]Adjusted Amounts'!I172</f>
        <v>0</v>
      </c>
      <c r="J23" s="1485">
        <f t="shared" si="25"/>
        <v>1676743.1897260274</v>
      </c>
      <c r="K23" s="1486">
        <f t="shared" si="18"/>
        <v>4673</v>
      </c>
      <c r="L23" s="1485">
        <f t="shared" si="13"/>
        <v>1836489</v>
      </c>
      <c r="M23" s="1487">
        <f t="shared" si="19"/>
        <v>-32138.557500000003</v>
      </c>
      <c r="N23" s="1487">
        <f t="shared" si="20"/>
        <v>-4591.2224999999999</v>
      </c>
      <c r="O23" s="1486">
        <f t="shared" si="21"/>
        <v>-36729.78</v>
      </c>
      <c r="P23" s="1486">
        <f t="shared" si="14"/>
        <v>1799759.22</v>
      </c>
      <c r="Q23" s="1486">
        <f>'[12]Adjusted Amounts'!Q172</f>
        <v>0</v>
      </c>
      <c r="R23" s="1485">
        <f t="shared" si="15"/>
        <v>1799759.22</v>
      </c>
      <c r="S23" s="1485">
        <f t="shared" si="16"/>
        <v>149979.935</v>
      </c>
    </row>
    <row r="24" spans="1:19" ht="48.75" customHeight="1">
      <c r="A24" s="1488">
        <v>368001</v>
      </c>
      <c r="B24" s="1489" t="s">
        <v>595</v>
      </c>
      <c r="C24" s="1482">
        <f>'[13]RSD-NO by Site'!D16</f>
        <v>262</v>
      </c>
      <c r="D24" s="1483">
        <f t="shared" si="9"/>
        <v>3520.4894337711748</v>
      </c>
      <c r="E24" s="1483">
        <f t="shared" si="22"/>
        <v>922368</v>
      </c>
      <c r="F24" s="1484">
        <v>746.0335616438357</v>
      </c>
      <c r="G24" s="1483">
        <f t="shared" si="23"/>
        <v>195460.79315068494</v>
      </c>
      <c r="H24" s="1485">
        <f t="shared" si="24"/>
        <v>1117828.793150685</v>
      </c>
      <c r="I24" s="1486">
        <v>0</v>
      </c>
      <c r="J24" s="1485">
        <f t="shared" si="25"/>
        <v>1117828.793150685</v>
      </c>
      <c r="K24" s="1486">
        <f>K17</f>
        <v>5442</v>
      </c>
      <c r="L24" s="1485">
        <f t="shared" si="13"/>
        <v>1425804</v>
      </c>
      <c r="M24" s="1487">
        <f t="shared" si="19"/>
        <v>-24951.570000000003</v>
      </c>
      <c r="N24" s="1487">
        <f t="shared" si="20"/>
        <v>-3564.51</v>
      </c>
      <c r="O24" s="1486">
        <f t="shared" si="21"/>
        <v>-28516.080000000002</v>
      </c>
      <c r="P24" s="1486">
        <f t="shared" si="14"/>
        <v>1397287.92</v>
      </c>
      <c r="Q24" s="1486">
        <v>0</v>
      </c>
      <c r="R24" s="1485">
        <f t="shared" si="15"/>
        <v>1397287.92</v>
      </c>
      <c r="S24" s="1485">
        <f t="shared" si="16"/>
        <v>116440.65999999999</v>
      </c>
    </row>
    <row r="25" spans="1:19" ht="29.25">
      <c r="A25" s="1488">
        <v>369001</v>
      </c>
      <c r="B25" s="1489" t="s">
        <v>343</v>
      </c>
      <c r="C25" s="1482">
        <f>'[13]RSD-NO by Site'!D17+15</f>
        <v>651</v>
      </c>
      <c r="D25" s="1483">
        <f t="shared" si="9"/>
        <v>3520.4894337711748</v>
      </c>
      <c r="E25" s="1483">
        <f t="shared" si="22"/>
        <v>2291839</v>
      </c>
      <c r="F25" s="1484">
        <v>746.0335616438357</v>
      </c>
      <c r="G25" s="1483">
        <f t="shared" si="23"/>
        <v>485667.84863013704</v>
      </c>
      <c r="H25" s="1485">
        <f t="shared" si="24"/>
        <v>2777506.8486301368</v>
      </c>
      <c r="I25" s="1486">
        <f>'[2]Adjusted Amounts'!I174</f>
        <v>2908.2904948400173</v>
      </c>
      <c r="J25" s="1485">
        <f t="shared" si="25"/>
        <v>2780415.1391249769</v>
      </c>
      <c r="K25" s="1486">
        <f t="shared" si="18"/>
        <v>4673</v>
      </c>
      <c r="L25" s="1485">
        <f t="shared" si="13"/>
        <v>3042123</v>
      </c>
      <c r="M25" s="1487">
        <f t="shared" si="19"/>
        <v>-53237.152500000004</v>
      </c>
      <c r="N25" s="1487">
        <f t="shared" si="20"/>
        <v>-7605.3074999999999</v>
      </c>
      <c r="O25" s="1486">
        <f t="shared" si="21"/>
        <v>-60842.460000000006</v>
      </c>
      <c r="P25" s="1486">
        <f t="shared" si="14"/>
        <v>2981280.54</v>
      </c>
      <c r="Q25" s="1486">
        <f>'[12]Adjusted Amounts'!Q174</f>
        <v>6304.5</v>
      </c>
      <c r="R25" s="1485">
        <f t="shared" si="15"/>
        <v>2987585.04</v>
      </c>
      <c r="S25" s="1485">
        <f t="shared" si="16"/>
        <v>248965.42</v>
      </c>
    </row>
    <row r="26" spans="1:19" ht="30.75" customHeight="1">
      <c r="A26" s="1502">
        <v>369002</v>
      </c>
      <c r="B26" s="1503" t="s">
        <v>344</v>
      </c>
      <c r="C26" s="1504">
        <f>'[13]RSD-NO by Site'!D18</f>
        <v>655</v>
      </c>
      <c r="D26" s="1493">
        <f t="shared" si="9"/>
        <v>3520.4894337711748</v>
      </c>
      <c r="E26" s="1493">
        <f t="shared" si="22"/>
        <v>2305921</v>
      </c>
      <c r="F26" s="1505">
        <v>746.0335616438357</v>
      </c>
      <c r="G26" s="1493">
        <f t="shared" si="23"/>
        <v>488651.9828767124</v>
      </c>
      <c r="H26" s="1495">
        <f t="shared" si="24"/>
        <v>2794572.9828767125</v>
      </c>
      <c r="I26" s="1496">
        <f>'[2]Adjusted Amounts'!I175</f>
        <v>-1517.3749542244705</v>
      </c>
      <c r="J26" s="1495">
        <f t="shared" si="25"/>
        <v>2793055.6079224879</v>
      </c>
      <c r="K26" s="1496">
        <f t="shared" si="18"/>
        <v>4673</v>
      </c>
      <c r="L26" s="1495">
        <f t="shared" si="13"/>
        <v>3060815</v>
      </c>
      <c r="M26" s="1494">
        <f t="shared" si="19"/>
        <v>-53564.262500000004</v>
      </c>
      <c r="N26" s="1494">
        <f t="shared" si="20"/>
        <v>-7652.0375000000004</v>
      </c>
      <c r="O26" s="1496">
        <f t="shared" si="21"/>
        <v>-61216.3</v>
      </c>
      <c r="P26" s="1496">
        <f t="shared" si="14"/>
        <v>2999598.7</v>
      </c>
      <c r="Q26" s="1496">
        <f>'[12]Adjusted Amounts'!Q175</f>
        <v>2101.5</v>
      </c>
      <c r="R26" s="1495">
        <f t="shared" si="15"/>
        <v>3001700.2</v>
      </c>
      <c r="S26" s="1495">
        <f t="shared" si="16"/>
        <v>250141.68333333335</v>
      </c>
    </row>
    <row r="27" spans="1:19" ht="30.75" customHeight="1">
      <c r="A27" s="1506">
        <v>369003</v>
      </c>
      <c r="B27" s="1507" t="s">
        <v>421</v>
      </c>
      <c r="C27" s="1474">
        <f>'[13]RSD-NO by Site'!D19</f>
        <v>639</v>
      </c>
      <c r="D27" s="1475">
        <f t="shared" si="9"/>
        <v>3520.4894337711748</v>
      </c>
      <c r="E27" s="1475">
        <f t="shared" si="22"/>
        <v>2249593</v>
      </c>
      <c r="F27" s="1476">
        <v>746.0335616438357</v>
      </c>
      <c r="G27" s="1475">
        <f t="shared" si="23"/>
        <v>476715.44589041104</v>
      </c>
      <c r="H27" s="1477">
        <f t="shared" si="24"/>
        <v>2726308.4458904108</v>
      </c>
      <c r="I27" s="1478">
        <f>'[2]Adjusted Amounts'!I176</f>
        <v>0</v>
      </c>
      <c r="J27" s="1477">
        <f t="shared" si="25"/>
        <v>2726308.4458904108</v>
      </c>
      <c r="K27" s="1478">
        <f t="shared" si="18"/>
        <v>4673</v>
      </c>
      <c r="L27" s="1477">
        <f t="shared" si="13"/>
        <v>2986047</v>
      </c>
      <c r="M27" s="1479">
        <f t="shared" si="19"/>
        <v>-52255.822500000002</v>
      </c>
      <c r="N27" s="1479">
        <f t="shared" si="20"/>
        <v>-7465.1175000000003</v>
      </c>
      <c r="O27" s="1478">
        <f t="shared" si="21"/>
        <v>-59720.94</v>
      </c>
      <c r="P27" s="1478">
        <f t="shared" si="14"/>
        <v>2926326.06</v>
      </c>
      <c r="Q27" s="1478">
        <f>'[12]Adjusted Amounts'!Q176</f>
        <v>0</v>
      </c>
      <c r="R27" s="1477">
        <f t="shared" si="15"/>
        <v>2926326.06</v>
      </c>
      <c r="S27" s="1156">
        <f t="shared" si="16"/>
        <v>243860.505</v>
      </c>
    </row>
    <row r="28" spans="1:19" ht="30.75" customHeight="1">
      <c r="A28" s="1488">
        <v>369004</v>
      </c>
      <c r="B28" s="1489" t="s">
        <v>440</v>
      </c>
      <c r="C28" s="1482">
        <f>'[13]RSD-NO by Site'!D20</f>
        <v>188</v>
      </c>
      <c r="D28" s="1483">
        <f t="shared" si="9"/>
        <v>3520.4894337711748</v>
      </c>
      <c r="E28" s="1483">
        <f t="shared" si="22"/>
        <v>661852</v>
      </c>
      <c r="F28" s="1484">
        <v>746.0335616438357</v>
      </c>
      <c r="G28" s="1483">
        <f t="shared" si="23"/>
        <v>140254.30958904111</v>
      </c>
      <c r="H28" s="1485">
        <f t="shared" si="24"/>
        <v>802106.30958904116</v>
      </c>
      <c r="I28" s="1486">
        <f>'[2]Adjusted Amounts'!I177</f>
        <v>210.84242529510993</v>
      </c>
      <c r="J28" s="1485">
        <f t="shared" si="25"/>
        <v>802317.15201433632</v>
      </c>
      <c r="K28" s="1486">
        <f t="shared" si="18"/>
        <v>4673</v>
      </c>
      <c r="L28" s="1485">
        <f t="shared" si="13"/>
        <v>878524</v>
      </c>
      <c r="M28" s="1487">
        <f t="shared" si="19"/>
        <v>-15374.170000000002</v>
      </c>
      <c r="N28" s="1487">
        <f t="shared" si="20"/>
        <v>-2196.31</v>
      </c>
      <c r="O28" s="1486">
        <f t="shared" si="21"/>
        <v>-17570.480000000003</v>
      </c>
      <c r="P28" s="1486">
        <f t="shared" si="14"/>
        <v>860953.52</v>
      </c>
      <c r="Q28" s="1486">
        <f>'[12]Adjusted Amounts'!Q177</f>
        <v>2115.5</v>
      </c>
      <c r="R28" s="1485">
        <f t="shared" si="15"/>
        <v>863069.02</v>
      </c>
      <c r="S28" s="1156">
        <f t="shared" si="16"/>
        <v>71922.418333333335</v>
      </c>
    </row>
    <row r="29" spans="1:19" ht="30.75" customHeight="1">
      <c r="A29" s="1488">
        <v>369005</v>
      </c>
      <c r="B29" s="1489" t="s">
        <v>441</v>
      </c>
      <c r="C29" s="1482">
        <f>'[13]RSD-NO by Site'!D21</f>
        <v>180</v>
      </c>
      <c r="D29" s="1483">
        <f t="shared" si="9"/>
        <v>3520.4894337711748</v>
      </c>
      <c r="E29" s="1483">
        <f t="shared" si="22"/>
        <v>633688</v>
      </c>
      <c r="F29" s="1484">
        <v>746.0335616438357</v>
      </c>
      <c r="G29" s="1483">
        <f t="shared" si="23"/>
        <v>134286.04109589042</v>
      </c>
      <c r="H29" s="1485">
        <f t="shared" si="24"/>
        <v>767974.04109589045</v>
      </c>
      <c r="I29" s="1486">
        <f>'[2]Adjusted Amounts'!I178</f>
        <v>-4198.5679285379201</v>
      </c>
      <c r="J29" s="1485">
        <f t="shared" si="25"/>
        <v>763775.47316735249</v>
      </c>
      <c r="K29" s="1486">
        <f t="shared" si="18"/>
        <v>4673</v>
      </c>
      <c r="L29" s="1485">
        <f t="shared" si="13"/>
        <v>841140</v>
      </c>
      <c r="M29" s="1487">
        <f t="shared" si="19"/>
        <v>-14719.95</v>
      </c>
      <c r="N29" s="1487">
        <f t="shared" si="20"/>
        <v>-2102.85</v>
      </c>
      <c r="O29" s="1486">
        <f t="shared" si="21"/>
        <v>-16822.8</v>
      </c>
      <c r="P29" s="1486">
        <f t="shared" si="14"/>
        <v>824317.2</v>
      </c>
      <c r="Q29" s="1486">
        <f>'[12]Adjusted Amounts'!Q178</f>
        <v>-6304.5</v>
      </c>
      <c r="R29" s="1485">
        <f t="shared" si="15"/>
        <v>818012.7</v>
      </c>
      <c r="S29" s="1156">
        <f t="shared" si="16"/>
        <v>68167.724999999991</v>
      </c>
    </row>
    <row r="30" spans="1:19" ht="30.75" customHeight="1">
      <c r="A30" s="1499">
        <v>369006</v>
      </c>
      <c r="B30" s="1500" t="s">
        <v>557</v>
      </c>
      <c r="C30" s="1501">
        <v>818</v>
      </c>
      <c r="D30" s="1483">
        <f t="shared" si="9"/>
        <v>3520.4894337711748</v>
      </c>
      <c r="E30" s="1483">
        <f t="shared" si="10"/>
        <v>2879760</v>
      </c>
      <c r="F30" s="1484">
        <v>746.0335616438357</v>
      </c>
      <c r="G30" s="1483">
        <f t="shared" si="11"/>
        <v>610255.45342465758</v>
      </c>
      <c r="H30" s="1485">
        <f t="shared" si="17"/>
        <v>3490015.4534246577</v>
      </c>
      <c r="I30" s="1486">
        <v>0</v>
      </c>
      <c r="J30" s="1485">
        <f t="shared" si="12"/>
        <v>3490015.4534246577</v>
      </c>
      <c r="K30" s="1486">
        <f t="shared" si="18"/>
        <v>4673</v>
      </c>
      <c r="L30" s="1485">
        <f t="shared" si="13"/>
        <v>3822514</v>
      </c>
      <c r="M30" s="1487">
        <f t="shared" si="19"/>
        <v>-66893.99500000001</v>
      </c>
      <c r="N30" s="1487">
        <f t="shared" si="20"/>
        <v>-9556.2849999999999</v>
      </c>
      <c r="O30" s="1486">
        <f t="shared" si="21"/>
        <v>-76450.280000000013</v>
      </c>
      <c r="P30" s="1486">
        <f t="shared" si="14"/>
        <v>3746063.72</v>
      </c>
      <c r="Q30" s="1486">
        <v>0</v>
      </c>
      <c r="R30" s="1485">
        <f t="shared" si="15"/>
        <v>3746063.72</v>
      </c>
      <c r="S30" s="1156">
        <f t="shared" si="16"/>
        <v>312171.97666666668</v>
      </c>
    </row>
    <row r="31" spans="1:19" ht="30.75" customHeight="1">
      <c r="A31" s="1502">
        <v>373001</v>
      </c>
      <c r="B31" s="1503" t="s">
        <v>401</v>
      </c>
      <c r="C31" s="1504">
        <f>'[13]RSD-NO by Site'!$D$23</f>
        <v>399</v>
      </c>
      <c r="D31" s="1493">
        <f t="shared" si="9"/>
        <v>3520.4894337711748</v>
      </c>
      <c r="E31" s="1493">
        <f t="shared" si="10"/>
        <v>1404675</v>
      </c>
      <c r="F31" s="1505">
        <v>746.0335616438357</v>
      </c>
      <c r="G31" s="1493">
        <f t="shared" si="11"/>
        <v>297667.39109589043</v>
      </c>
      <c r="H31" s="1495">
        <f t="shared" si="17"/>
        <v>1702342.3910958904</v>
      </c>
      <c r="I31" s="1496">
        <f>'[2]Adjusted Amounts'!I180</f>
        <v>0</v>
      </c>
      <c r="J31" s="1495">
        <f t="shared" si="12"/>
        <v>1702342.3910958904</v>
      </c>
      <c r="K31" s="1496">
        <f t="shared" si="18"/>
        <v>4673</v>
      </c>
      <c r="L31" s="1495">
        <f t="shared" si="13"/>
        <v>1864527</v>
      </c>
      <c r="M31" s="1494">
        <f t="shared" si="19"/>
        <v>-32629.222500000003</v>
      </c>
      <c r="N31" s="1494">
        <f t="shared" si="20"/>
        <v>-4661.3175000000001</v>
      </c>
      <c r="O31" s="1496">
        <f t="shared" si="21"/>
        <v>-37290.54</v>
      </c>
      <c r="P31" s="1496">
        <f t="shared" si="14"/>
        <v>1827236.46</v>
      </c>
      <c r="Q31" s="1496">
        <f>'[12]Adjusted Amounts'!Q180</f>
        <v>0</v>
      </c>
      <c r="R31" s="1495">
        <f t="shared" si="15"/>
        <v>1827236.46</v>
      </c>
      <c r="S31" s="1156">
        <f t="shared" si="16"/>
        <v>152269.70499999999</v>
      </c>
    </row>
    <row r="32" spans="1:19" ht="30.75" customHeight="1">
      <c r="A32" s="1508">
        <v>373002</v>
      </c>
      <c r="B32" s="1509" t="s">
        <v>923</v>
      </c>
      <c r="C32" s="1510">
        <v>398</v>
      </c>
      <c r="D32" s="1475">
        <f t="shared" si="9"/>
        <v>3520.4894337711748</v>
      </c>
      <c r="E32" s="1475">
        <f t="shared" si="10"/>
        <v>1401155</v>
      </c>
      <c r="F32" s="1476">
        <v>746.0335616438357</v>
      </c>
      <c r="G32" s="1475">
        <f t="shared" si="11"/>
        <v>296921.35753424664</v>
      </c>
      <c r="H32" s="1477">
        <f t="shared" si="17"/>
        <v>1698076.3575342465</v>
      </c>
      <c r="I32" s="1478">
        <v>0</v>
      </c>
      <c r="J32" s="1477">
        <f t="shared" si="12"/>
        <v>1698076.3575342465</v>
      </c>
      <c r="K32" s="1478">
        <f t="shared" si="18"/>
        <v>4673</v>
      </c>
      <c r="L32" s="1477">
        <f t="shared" si="13"/>
        <v>1859854</v>
      </c>
      <c r="M32" s="1479">
        <f t="shared" si="19"/>
        <v>-32547.445000000003</v>
      </c>
      <c r="N32" s="1479">
        <f t="shared" si="20"/>
        <v>-4649.6350000000002</v>
      </c>
      <c r="O32" s="1478">
        <f t="shared" si="21"/>
        <v>-37197.08</v>
      </c>
      <c r="P32" s="1478">
        <f t="shared" si="14"/>
        <v>1822656.92</v>
      </c>
      <c r="Q32" s="1478">
        <v>0</v>
      </c>
      <c r="R32" s="1477">
        <f t="shared" si="15"/>
        <v>1822656.92</v>
      </c>
      <c r="S32" s="1477">
        <f t="shared" si="16"/>
        <v>151888.07666666666</v>
      </c>
    </row>
    <row r="33" spans="1:26" ht="30.75" customHeight="1">
      <c r="A33" s="1488">
        <v>374001</v>
      </c>
      <c r="B33" s="1489" t="s">
        <v>402</v>
      </c>
      <c r="C33" s="1482">
        <f>'[13]RSD-NO by Site'!D24</f>
        <v>402</v>
      </c>
      <c r="D33" s="1483">
        <f t="shared" si="9"/>
        <v>3520.4894337711748</v>
      </c>
      <c r="E33" s="1483">
        <f t="shared" si="10"/>
        <v>1415237</v>
      </c>
      <c r="F33" s="1484">
        <v>746.0335616438357</v>
      </c>
      <c r="G33" s="1483">
        <f t="shared" si="11"/>
        <v>299905.49178082193</v>
      </c>
      <c r="H33" s="1485">
        <f t="shared" si="17"/>
        <v>1715142.4917808219</v>
      </c>
      <c r="I33" s="1486">
        <f>'[2]Adjusted Amounts'!I180</f>
        <v>0</v>
      </c>
      <c r="J33" s="1485">
        <f t="shared" si="12"/>
        <v>1715142.4917808219</v>
      </c>
      <c r="K33" s="1486">
        <f t="shared" si="18"/>
        <v>4673</v>
      </c>
      <c r="L33" s="1485">
        <f t="shared" si="13"/>
        <v>1878546</v>
      </c>
      <c r="M33" s="1487">
        <f t="shared" si="19"/>
        <v>-32874.555</v>
      </c>
      <c r="N33" s="1487">
        <f t="shared" si="20"/>
        <v>-4696.3649999999998</v>
      </c>
      <c r="O33" s="1486">
        <f t="shared" si="21"/>
        <v>-37570.92</v>
      </c>
      <c r="P33" s="1486">
        <f t="shared" si="14"/>
        <v>1840975.08</v>
      </c>
      <c r="Q33" s="1486">
        <f>'[12]Adjusted Amounts'!Q180</f>
        <v>0</v>
      </c>
      <c r="R33" s="1485">
        <f t="shared" si="15"/>
        <v>1840975.08</v>
      </c>
      <c r="S33" s="1485">
        <f t="shared" si="16"/>
        <v>153414.59</v>
      </c>
    </row>
    <row r="34" spans="1:26" ht="33" customHeight="1">
      <c r="A34" s="1480">
        <v>381001</v>
      </c>
      <c r="B34" s="1481" t="s">
        <v>524</v>
      </c>
      <c r="C34" s="1511">
        <f>'[13]RSD-NO by Site'!D29</f>
        <v>381</v>
      </c>
      <c r="D34" s="1483">
        <f t="shared" si="9"/>
        <v>3520.4894337711748</v>
      </c>
      <c r="E34" s="1483">
        <f t="shared" ref="E34:E35" si="26">ROUND(C34*D34,0)</f>
        <v>1341306</v>
      </c>
      <c r="F34" s="1512">
        <v>743.65689655172423</v>
      </c>
      <c r="G34" s="1483">
        <f t="shared" ref="G34:G35" si="27">F34*C34</f>
        <v>283333.27758620691</v>
      </c>
      <c r="H34" s="1485">
        <f t="shared" ref="H34:H35" si="28">E34+G34</f>
        <v>1624639.2775862068</v>
      </c>
      <c r="I34" s="1486">
        <f>'[2]Adjusted Amounts'!I185</f>
        <v>0</v>
      </c>
      <c r="J34" s="1485">
        <f t="shared" ref="J34:J35" si="29">H34+I34</f>
        <v>1624639.2775862068</v>
      </c>
      <c r="K34" s="1486">
        <f t="shared" si="18"/>
        <v>4673</v>
      </c>
      <c r="L34" s="1485">
        <f>C34*K34</f>
        <v>1780413</v>
      </c>
      <c r="M34" s="1487">
        <f>-$M$5*L34</f>
        <v>-31157.227500000005</v>
      </c>
      <c r="N34" s="1487">
        <f>-$N$5*L34</f>
        <v>-4451.0325000000003</v>
      </c>
      <c r="O34" s="1486">
        <f>M34+N34</f>
        <v>-35608.26</v>
      </c>
      <c r="P34" s="1486">
        <f>L34+O34</f>
        <v>1744804.74</v>
      </c>
      <c r="Q34" s="1486">
        <v>0</v>
      </c>
      <c r="R34" s="1485">
        <f>SUM(P34:Q34)</f>
        <v>1744804.74</v>
      </c>
      <c r="S34" s="1485">
        <f>R34/12</f>
        <v>145400.39499999999</v>
      </c>
    </row>
    <row r="35" spans="1:26" ht="33" customHeight="1">
      <c r="A35" s="1488">
        <v>382001</v>
      </c>
      <c r="B35" s="1489" t="s">
        <v>531</v>
      </c>
      <c r="C35" s="1482">
        <f>'[13]RSD-NO by Site'!D30</f>
        <v>401</v>
      </c>
      <c r="D35" s="1483">
        <f t="shared" si="9"/>
        <v>3520.4894337711748</v>
      </c>
      <c r="E35" s="1483">
        <f t="shared" si="26"/>
        <v>1411716</v>
      </c>
      <c r="F35" s="1484">
        <v>783.54939759036142</v>
      </c>
      <c r="G35" s="1483">
        <f t="shared" si="27"/>
        <v>314203.30843373493</v>
      </c>
      <c r="H35" s="1485">
        <f t="shared" si="28"/>
        <v>1725919.3084337348</v>
      </c>
      <c r="I35" s="1486">
        <f>'[2]Adjusted Amounts'!I186</f>
        <v>-24145.178855639864</v>
      </c>
      <c r="J35" s="1485">
        <f t="shared" si="29"/>
        <v>1701774.1295780949</v>
      </c>
      <c r="K35" s="1486">
        <f t="shared" si="18"/>
        <v>4673</v>
      </c>
      <c r="L35" s="1485">
        <f>C35*K35</f>
        <v>1873873</v>
      </c>
      <c r="M35" s="1487">
        <f>-$M$5*L35</f>
        <v>-32792.777500000004</v>
      </c>
      <c r="N35" s="1487">
        <f>-$N$5*L35</f>
        <v>-4684.6824999999999</v>
      </c>
      <c r="O35" s="1486">
        <f>M35+N35</f>
        <v>-37477.460000000006</v>
      </c>
      <c r="P35" s="1486">
        <f>L35+O35</f>
        <v>1836395.54</v>
      </c>
      <c r="Q35" s="1486">
        <f>'[12]Adjusted Amounts'!Q186</f>
        <v>-8399</v>
      </c>
      <c r="R35" s="1485">
        <f>SUM(P35:Q35)</f>
        <v>1827996.54</v>
      </c>
      <c r="S35" s="1485">
        <f>R35/12</f>
        <v>152333.04500000001</v>
      </c>
    </row>
    <row r="36" spans="1:26" ht="30.75" customHeight="1">
      <c r="A36" s="1490">
        <v>382002</v>
      </c>
      <c r="B36" s="1491" t="s">
        <v>450</v>
      </c>
      <c r="C36" s="1513">
        <f>'[13]RSD-NO by Site'!D31</f>
        <v>105</v>
      </c>
      <c r="D36" s="1493">
        <f t="shared" si="9"/>
        <v>3520.4894337711748</v>
      </c>
      <c r="E36" s="1493">
        <f t="shared" si="10"/>
        <v>369651</v>
      </c>
      <c r="F36" s="1505">
        <v>746.0335616438357</v>
      </c>
      <c r="G36" s="1493">
        <f t="shared" si="11"/>
        <v>78333.52397260275</v>
      </c>
      <c r="H36" s="1495">
        <f t="shared" si="17"/>
        <v>447984.52397260274</v>
      </c>
      <c r="I36" s="1496">
        <v>0</v>
      </c>
      <c r="J36" s="1495">
        <f t="shared" si="12"/>
        <v>447984.52397260274</v>
      </c>
      <c r="K36" s="1496">
        <f t="shared" si="18"/>
        <v>4673</v>
      </c>
      <c r="L36" s="1495">
        <f t="shared" si="13"/>
        <v>490665</v>
      </c>
      <c r="M36" s="1494">
        <f t="shared" si="19"/>
        <v>-8586.6375000000007</v>
      </c>
      <c r="N36" s="1494">
        <f t="shared" si="20"/>
        <v>-1226.6625000000001</v>
      </c>
      <c r="O36" s="1496">
        <f t="shared" si="21"/>
        <v>-9813.3000000000011</v>
      </c>
      <c r="P36" s="1496">
        <f t="shared" si="14"/>
        <v>480851.7</v>
      </c>
      <c r="Q36" s="1496">
        <f>'[12]Adjusted Amounts'!Q187</f>
        <v>0</v>
      </c>
      <c r="R36" s="1495">
        <f t="shared" si="15"/>
        <v>480851.7</v>
      </c>
      <c r="S36" s="1495">
        <f t="shared" si="16"/>
        <v>40070.974999999999</v>
      </c>
    </row>
    <row r="37" spans="1:26" ht="30.75" customHeight="1">
      <c r="A37" s="1472">
        <v>382003</v>
      </c>
      <c r="B37" s="1473" t="s">
        <v>503</v>
      </c>
      <c r="C37" s="1497">
        <f>'[13]RSD-NO by Site'!D32</f>
        <v>100</v>
      </c>
      <c r="D37" s="1475">
        <f t="shared" si="9"/>
        <v>3520.4894337711748</v>
      </c>
      <c r="E37" s="1475">
        <f t="shared" si="10"/>
        <v>352049</v>
      </c>
      <c r="F37" s="1476">
        <v>746.0335616438357</v>
      </c>
      <c r="G37" s="1475">
        <f t="shared" si="11"/>
        <v>74603.356164383571</v>
      </c>
      <c r="H37" s="1477">
        <f t="shared" si="17"/>
        <v>426652.35616438359</v>
      </c>
      <c r="I37" s="1478">
        <v>0</v>
      </c>
      <c r="J37" s="1477">
        <f t="shared" si="12"/>
        <v>426652.35616438359</v>
      </c>
      <c r="K37" s="1478">
        <f t="shared" si="18"/>
        <v>4673</v>
      </c>
      <c r="L37" s="1477">
        <f t="shared" si="13"/>
        <v>467300</v>
      </c>
      <c r="M37" s="1479">
        <f t="shared" si="19"/>
        <v>-8177.7500000000009</v>
      </c>
      <c r="N37" s="1479">
        <f t="shared" si="20"/>
        <v>-1168.25</v>
      </c>
      <c r="O37" s="1478">
        <f t="shared" si="21"/>
        <v>-9346</v>
      </c>
      <c r="P37" s="1478">
        <f t="shared" si="14"/>
        <v>457954</v>
      </c>
      <c r="Q37" s="1478">
        <f>'[12]Adjusted Amounts'!Q188</f>
        <v>0</v>
      </c>
      <c r="R37" s="1477">
        <f t="shared" si="15"/>
        <v>457954</v>
      </c>
      <c r="S37" s="1477">
        <f t="shared" si="16"/>
        <v>38162.833333333336</v>
      </c>
    </row>
    <row r="38" spans="1:26" ht="30.75" customHeight="1">
      <c r="A38" s="1488">
        <v>384001</v>
      </c>
      <c r="B38" s="1489" t="s">
        <v>336</v>
      </c>
      <c r="C38" s="1482">
        <f>'[13]RSD-NO by Site'!D33</f>
        <v>400</v>
      </c>
      <c r="D38" s="1483">
        <f t="shared" si="9"/>
        <v>3520.4894337711748</v>
      </c>
      <c r="E38" s="1483">
        <f t="shared" si="10"/>
        <v>1408196</v>
      </c>
      <c r="F38" s="1484">
        <v>735.82244897959185</v>
      </c>
      <c r="G38" s="1483">
        <f t="shared" si="11"/>
        <v>294328.97959183675</v>
      </c>
      <c r="H38" s="1485">
        <f t="shared" si="17"/>
        <v>1702524.9795918367</v>
      </c>
      <c r="I38" s="1486">
        <f>'[2]Adjusted Amounts'!I190</f>
        <v>-13786.843486509482</v>
      </c>
      <c r="J38" s="1485">
        <f t="shared" si="12"/>
        <v>1688738.1361053272</v>
      </c>
      <c r="K38" s="1486">
        <f t="shared" si="18"/>
        <v>4673</v>
      </c>
      <c r="L38" s="1485">
        <f t="shared" si="13"/>
        <v>1869200</v>
      </c>
      <c r="M38" s="1487">
        <f t="shared" si="19"/>
        <v>-32711.000000000004</v>
      </c>
      <c r="N38" s="1487">
        <f t="shared" si="20"/>
        <v>-4673</v>
      </c>
      <c r="O38" s="1486">
        <f t="shared" si="21"/>
        <v>-37384</v>
      </c>
      <c r="P38" s="1486">
        <f t="shared" si="14"/>
        <v>1831816</v>
      </c>
      <c r="Q38" s="1486">
        <f>'[12]Adjusted Amounts'!Q190</f>
        <v>-10493.5</v>
      </c>
      <c r="R38" s="1485">
        <f t="shared" si="15"/>
        <v>1821322.5</v>
      </c>
      <c r="S38" s="1485">
        <f t="shared" si="16"/>
        <v>151776.875</v>
      </c>
    </row>
    <row r="39" spans="1:26" ht="30.75" customHeight="1">
      <c r="A39" s="1488">
        <v>385001</v>
      </c>
      <c r="B39" s="1489" t="s">
        <v>261</v>
      </c>
      <c r="C39" s="1511">
        <f>'[13]RSD-NO by Site'!D34</f>
        <v>352</v>
      </c>
      <c r="D39" s="1483">
        <f t="shared" si="9"/>
        <v>3520.4894337711748</v>
      </c>
      <c r="E39" s="1483">
        <f t="shared" si="10"/>
        <v>1239212</v>
      </c>
      <c r="F39" s="1484">
        <v>618.75651162790689</v>
      </c>
      <c r="G39" s="1483">
        <f t="shared" si="11"/>
        <v>217802.29209302322</v>
      </c>
      <c r="H39" s="1485">
        <f t="shared" si="17"/>
        <v>1457014.2920930232</v>
      </c>
      <c r="I39" s="1486">
        <f>'[2]Adjusted Amounts'!I191</f>
        <v>-3516.4052830321971</v>
      </c>
      <c r="J39" s="1485">
        <f t="shared" si="12"/>
        <v>1453497.886809991</v>
      </c>
      <c r="K39" s="1486">
        <f t="shared" si="18"/>
        <v>4673</v>
      </c>
      <c r="L39" s="1485">
        <f t="shared" si="13"/>
        <v>1644896</v>
      </c>
      <c r="M39" s="1487">
        <f t="shared" si="19"/>
        <v>-28785.680000000004</v>
      </c>
      <c r="N39" s="1487">
        <f t="shared" si="20"/>
        <v>-4112.24</v>
      </c>
      <c r="O39" s="1486">
        <f t="shared" si="21"/>
        <v>-32897.920000000006</v>
      </c>
      <c r="P39" s="1486">
        <f t="shared" si="14"/>
        <v>1611998.08</v>
      </c>
      <c r="Q39" s="1486">
        <f>'[12]Adjusted Amounts'!Q191</f>
        <v>0</v>
      </c>
      <c r="R39" s="1485">
        <f t="shared" si="15"/>
        <v>1611998.08</v>
      </c>
      <c r="S39" s="1485">
        <f t="shared" si="16"/>
        <v>134333.17333333334</v>
      </c>
    </row>
    <row r="40" spans="1:26" ht="30">
      <c r="A40" s="1480">
        <v>385002</v>
      </c>
      <c r="B40" s="1481" t="s">
        <v>451</v>
      </c>
      <c r="C40" s="1511">
        <f>'[13]RSD-NO by Site'!D35</f>
        <v>493</v>
      </c>
      <c r="D40" s="1483">
        <f t="shared" si="9"/>
        <v>3520.4894337711748</v>
      </c>
      <c r="E40" s="1483">
        <f t="shared" si="10"/>
        <v>1735601</v>
      </c>
      <c r="F40" s="1484">
        <v>746.0335616438357</v>
      </c>
      <c r="G40" s="1483">
        <f t="shared" si="11"/>
        <v>367794.54589041101</v>
      </c>
      <c r="H40" s="1485">
        <f t="shared" si="17"/>
        <v>2103395.5458904109</v>
      </c>
      <c r="I40" s="1486">
        <f>'[2]Adjusted Amounts'!I192</f>
        <v>0</v>
      </c>
      <c r="J40" s="1485">
        <f t="shared" si="12"/>
        <v>2103395.5458904109</v>
      </c>
      <c r="K40" s="1486">
        <f t="shared" si="18"/>
        <v>4673</v>
      </c>
      <c r="L40" s="1485">
        <f t="shared" si="13"/>
        <v>2303789</v>
      </c>
      <c r="M40" s="1487">
        <f t="shared" si="19"/>
        <v>-40316.307500000003</v>
      </c>
      <c r="N40" s="1487">
        <f t="shared" si="20"/>
        <v>-5759.4724999999999</v>
      </c>
      <c r="O40" s="1486">
        <f t="shared" si="21"/>
        <v>-46075.78</v>
      </c>
      <c r="P40" s="1486">
        <f t="shared" si="14"/>
        <v>2257713.2200000002</v>
      </c>
      <c r="Q40" s="1486">
        <f>'[12]Adjusted Amounts'!Q192</f>
        <v>0</v>
      </c>
      <c r="R40" s="1485">
        <f t="shared" si="15"/>
        <v>2257713.2200000002</v>
      </c>
      <c r="S40" s="1485">
        <f t="shared" si="16"/>
        <v>188142.76833333334</v>
      </c>
    </row>
    <row r="41" spans="1:26" ht="33" customHeight="1">
      <c r="A41" s="1514">
        <v>385003</v>
      </c>
      <c r="B41" s="1515" t="s">
        <v>924</v>
      </c>
      <c r="C41" s="1516">
        <v>376</v>
      </c>
      <c r="D41" s="1493">
        <f t="shared" si="9"/>
        <v>3520.4894337711748</v>
      </c>
      <c r="E41" s="1493">
        <f t="shared" si="10"/>
        <v>1323704</v>
      </c>
      <c r="F41" s="1505">
        <v>746.0335616438357</v>
      </c>
      <c r="G41" s="1493">
        <f t="shared" si="11"/>
        <v>280508.61917808221</v>
      </c>
      <c r="H41" s="1495">
        <f t="shared" si="17"/>
        <v>1604212.6191780823</v>
      </c>
      <c r="I41" s="1496">
        <v>0</v>
      </c>
      <c r="J41" s="1495">
        <f t="shared" si="12"/>
        <v>1604212.6191780823</v>
      </c>
      <c r="K41" s="1496">
        <f t="shared" si="18"/>
        <v>4673</v>
      </c>
      <c r="L41" s="1495">
        <f t="shared" si="13"/>
        <v>1757048</v>
      </c>
      <c r="M41" s="1494">
        <f t="shared" si="19"/>
        <v>-30748.340000000004</v>
      </c>
      <c r="N41" s="1494">
        <f t="shared" si="20"/>
        <v>-4392.62</v>
      </c>
      <c r="O41" s="1496">
        <f t="shared" si="21"/>
        <v>-35140.960000000006</v>
      </c>
      <c r="P41" s="1496">
        <f t="shared" si="14"/>
        <v>1721907.04</v>
      </c>
      <c r="Q41" s="1496">
        <v>0</v>
      </c>
      <c r="R41" s="1495">
        <f t="shared" si="15"/>
        <v>1721907.04</v>
      </c>
      <c r="S41" s="1495">
        <f t="shared" si="16"/>
        <v>143492.25333333333</v>
      </c>
    </row>
    <row r="42" spans="1:26" ht="30.75" customHeight="1">
      <c r="A42" s="1506">
        <v>388001</v>
      </c>
      <c r="B42" s="1507" t="s">
        <v>262</v>
      </c>
      <c r="C42" s="1474">
        <f>'[13]RSD-NO by Site'!D36</f>
        <v>608</v>
      </c>
      <c r="D42" s="1475">
        <f t="shared" si="9"/>
        <v>3520.4894337711748</v>
      </c>
      <c r="E42" s="1475">
        <f t="shared" si="10"/>
        <v>2140458</v>
      </c>
      <c r="F42" s="1476">
        <v>708.2132751810401</v>
      </c>
      <c r="G42" s="1475">
        <f t="shared" ref="G42" si="30">F42*C42</f>
        <v>430593.67131007236</v>
      </c>
      <c r="H42" s="1477">
        <f t="shared" ref="H42" si="31">E42+G42</f>
        <v>2571051.6713100723</v>
      </c>
      <c r="I42" s="1478">
        <f>'[2]Adjusted Amounts'!I193</f>
        <v>3960.2403711526622</v>
      </c>
      <c r="J42" s="1477">
        <f t="shared" si="12"/>
        <v>2575011.9116812251</v>
      </c>
      <c r="K42" s="1478">
        <f t="shared" si="18"/>
        <v>4673</v>
      </c>
      <c r="L42" s="1477">
        <f t="shared" si="13"/>
        <v>2841184</v>
      </c>
      <c r="M42" s="1479">
        <f t="shared" si="19"/>
        <v>-49720.72</v>
      </c>
      <c r="N42" s="1479">
        <f t="shared" si="20"/>
        <v>-7102.96</v>
      </c>
      <c r="O42" s="1478">
        <f t="shared" si="21"/>
        <v>-56823.68</v>
      </c>
      <c r="P42" s="1478">
        <f t="shared" si="14"/>
        <v>2784360.32</v>
      </c>
      <c r="Q42" s="1478">
        <f>'[12]Adjusted Amounts'!Q193</f>
        <v>4203</v>
      </c>
      <c r="R42" s="1477">
        <f t="shared" si="15"/>
        <v>2788563.32</v>
      </c>
      <c r="S42" s="1477">
        <f t="shared" si="16"/>
        <v>232380.27666666664</v>
      </c>
    </row>
    <row r="43" spans="1:26" ht="47.25" customHeight="1">
      <c r="A43" s="1488">
        <v>390001</v>
      </c>
      <c r="B43" s="1489" t="s">
        <v>487</v>
      </c>
      <c r="C43" s="1482">
        <f>'[13]RSD-NO by Site'!D37</f>
        <v>596</v>
      </c>
      <c r="D43" s="1483">
        <f t="shared" si="9"/>
        <v>3520.4894337711748</v>
      </c>
      <c r="E43" s="1483">
        <f t="shared" si="10"/>
        <v>2098212</v>
      </c>
      <c r="F43" s="1484">
        <v>650.55234865477053</v>
      </c>
      <c r="G43" s="1483">
        <f t="shared" si="11"/>
        <v>387729.19979824324</v>
      </c>
      <c r="H43" s="1485">
        <f t="shared" si="17"/>
        <v>2485941.1997982431</v>
      </c>
      <c r="I43" s="1486">
        <f>'[2]Adjusted Amounts'!I195</f>
        <v>0</v>
      </c>
      <c r="J43" s="1485">
        <f t="shared" si="12"/>
        <v>2485941.1997982431</v>
      </c>
      <c r="K43" s="1486">
        <f>K22</f>
        <v>5442</v>
      </c>
      <c r="L43" s="1485">
        <f t="shared" si="13"/>
        <v>3243432</v>
      </c>
      <c r="M43" s="1487">
        <f t="shared" si="19"/>
        <v>-56760.060000000005</v>
      </c>
      <c r="N43" s="1487">
        <f t="shared" si="20"/>
        <v>-8108.58</v>
      </c>
      <c r="O43" s="1486">
        <f t="shared" si="21"/>
        <v>-64868.640000000007</v>
      </c>
      <c r="P43" s="1486">
        <f t="shared" si="14"/>
        <v>3178563.36</v>
      </c>
      <c r="Q43" s="1486">
        <f>'[12]Adjusted Amounts'!Q194</f>
        <v>0</v>
      </c>
      <c r="R43" s="1485">
        <f t="shared" si="15"/>
        <v>3178563.36</v>
      </c>
      <c r="S43" s="1485">
        <f t="shared" si="16"/>
        <v>264880.27999999997</v>
      </c>
    </row>
    <row r="44" spans="1:26" ht="30.75" customHeight="1">
      <c r="A44" s="1488">
        <v>391001</v>
      </c>
      <c r="B44" s="1489" t="s">
        <v>275</v>
      </c>
      <c r="C44" s="1482">
        <f>'[13]RSD-NO by Site'!D38</f>
        <v>694</v>
      </c>
      <c r="D44" s="1483">
        <f t="shared" si="9"/>
        <v>3520.4894337711748</v>
      </c>
      <c r="E44" s="1483">
        <f t="shared" si="10"/>
        <v>2443220</v>
      </c>
      <c r="F44" s="1484">
        <v>721.28337970262919</v>
      </c>
      <c r="G44" s="1483">
        <f t="shared" si="11"/>
        <v>500570.66551362467</v>
      </c>
      <c r="H44" s="1485">
        <f t="shared" si="17"/>
        <v>2943790.6655136244</v>
      </c>
      <c r="I44" s="1486">
        <f>'[2]Adjusted Amounts'!I196</f>
        <v>0</v>
      </c>
      <c r="J44" s="1485">
        <f t="shared" si="12"/>
        <v>2943790.6655136244</v>
      </c>
      <c r="K44" s="1486">
        <f t="shared" si="18"/>
        <v>4673</v>
      </c>
      <c r="L44" s="1485">
        <f t="shared" si="13"/>
        <v>3243062</v>
      </c>
      <c r="M44" s="1487">
        <f t="shared" si="19"/>
        <v>-56753.585000000006</v>
      </c>
      <c r="N44" s="1487">
        <f t="shared" si="20"/>
        <v>-8107.6549999999997</v>
      </c>
      <c r="O44" s="1486">
        <f t="shared" si="21"/>
        <v>-64861.240000000005</v>
      </c>
      <c r="P44" s="1486">
        <f t="shared" si="14"/>
        <v>3178200.76</v>
      </c>
      <c r="Q44" s="1486">
        <f>'[12]Adjusted Amounts'!Q195</f>
        <v>0</v>
      </c>
      <c r="R44" s="1485">
        <f t="shared" si="15"/>
        <v>3178200.76</v>
      </c>
      <c r="S44" s="1485">
        <f t="shared" si="16"/>
        <v>264850.0633333333</v>
      </c>
    </row>
    <row r="45" spans="1:26" ht="30.75" customHeight="1">
      <c r="A45" s="1480">
        <v>391002</v>
      </c>
      <c r="B45" s="1481" t="s">
        <v>449</v>
      </c>
      <c r="C45" s="1511">
        <f>'[13]RSD-NO by Site'!D39</f>
        <v>347</v>
      </c>
      <c r="D45" s="1483">
        <f t="shared" si="9"/>
        <v>3520.4894337711748</v>
      </c>
      <c r="E45" s="1483">
        <f>ROUND(C45*D45,0)</f>
        <v>1221610</v>
      </c>
      <c r="F45" s="1484">
        <v>746.0335616438357</v>
      </c>
      <c r="G45" s="1483">
        <f>F45*C45</f>
        <v>258873.64589041099</v>
      </c>
      <c r="H45" s="1485">
        <f>E45+G45</f>
        <v>1480483.645890411</v>
      </c>
      <c r="I45" s="1486">
        <v>0</v>
      </c>
      <c r="J45" s="1485">
        <f>H45+I45</f>
        <v>1480483.645890411</v>
      </c>
      <c r="K45" s="1486">
        <f t="shared" si="18"/>
        <v>4673</v>
      </c>
      <c r="L45" s="1485">
        <f t="shared" si="13"/>
        <v>1621531</v>
      </c>
      <c r="M45" s="1487">
        <f t="shared" si="19"/>
        <v>-28376.792500000003</v>
      </c>
      <c r="N45" s="1487">
        <f t="shared" si="20"/>
        <v>-4053.8274999999999</v>
      </c>
      <c r="O45" s="1486">
        <f t="shared" si="21"/>
        <v>-32430.620000000003</v>
      </c>
      <c r="P45" s="1486">
        <f t="shared" si="14"/>
        <v>1589100.38</v>
      </c>
      <c r="Q45" s="1486">
        <f>'[12]Adjusted Amounts'!Q196</f>
        <v>0</v>
      </c>
      <c r="R45" s="1485">
        <f t="shared" si="15"/>
        <v>1589100.38</v>
      </c>
      <c r="S45" s="1485">
        <f t="shared" si="16"/>
        <v>132425.03166666665</v>
      </c>
    </row>
    <row r="46" spans="1:26" s="1158" customFormat="1" ht="30.75" customHeight="1">
      <c r="A46" s="1502">
        <v>392001</v>
      </c>
      <c r="B46" s="1503" t="s">
        <v>274</v>
      </c>
      <c r="C46" s="1504">
        <f>'[13]RSD-NO by Site'!D40</f>
        <v>425</v>
      </c>
      <c r="D46" s="1493">
        <f t="shared" si="9"/>
        <v>3520.4894337711748</v>
      </c>
      <c r="E46" s="1493">
        <f t="shared" si="10"/>
        <v>1496208</v>
      </c>
      <c r="F46" s="1505">
        <v>600.21655982905986</v>
      </c>
      <c r="G46" s="1493">
        <f t="shared" si="11"/>
        <v>255092.03792735044</v>
      </c>
      <c r="H46" s="1495">
        <f t="shared" si="17"/>
        <v>1751300.0379273505</v>
      </c>
      <c r="I46" s="1496">
        <f>'[2]Adjusted Amounts'!I197</f>
        <v>-13026.842935677982</v>
      </c>
      <c r="J46" s="1495">
        <f t="shared" si="12"/>
        <v>1738273.1949916724</v>
      </c>
      <c r="K46" s="1496">
        <f t="shared" si="18"/>
        <v>4673</v>
      </c>
      <c r="L46" s="1495">
        <f t="shared" si="13"/>
        <v>1986025</v>
      </c>
      <c r="M46" s="1494">
        <f t="shared" si="19"/>
        <v>-34755.4375</v>
      </c>
      <c r="N46" s="1494">
        <f t="shared" si="20"/>
        <v>-4965.0625</v>
      </c>
      <c r="O46" s="1496">
        <f t="shared" si="21"/>
        <v>-39720.5</v>
      </c>
      <c r="P46" s="1496">
        <f t="shared" si="14"/>
        <v>1946304.5</v>
      </c>
      <c r="Q46" s="1496">
        <f>'[12]Adjusted Amounts'!Q197</f>
        <v>4203</v>
      </c>
      <c r="R46" s="1495">
        <f t="shared" si="15"/>
        <v>1950507.5</v>
      </c>
      <c r="S46" s="1495">
        <f t="shared" si="16"/>
        <v>162542.29166666666</v>
      </c>
      <c r="T46" s="1206"/>
      <c r="U46" s="1206"/>
      <c r="V46" s="1206"/>
      <c r="W46" s="1206"/>
      <c r="X46" s="1206"/>
      <c r="Y46" s="1206"/>
      <c r="Z46" s="1206"/>
    </row>
    <row r="47" spans="1:26" ht="30.75" customHeight="1">
      <c r="A47" s="1506">
        <v>393001</v>
      </c>
      <c r="B47" s="1507" t="s">
        <v>273</v>
      </c>
      <c r="C47" s="1474">
        <f>'[13]RSD-NO by Site'!D41</f>
        <v>886</v>
      </c>
      <c r="D47" s="1475">
        <f t="shared" si="9"/>
        <v>3520.4894337711748</v>
      </c>
      <c r="E47" s="1475">
        <f t="shared" si="10"/>
        <v>3119154</v>
      </c>
      <c r="F47" s="1476">
        <v>776.90344307346322</v>
      </c>
      <c r="G47" s="1475">
        <f t="shared" si="11"/>
        <v>688336.45056308841</v>
      </c>
      <c r="H47" s="1477">
        <f t="shared" si="17"/>
        <v>3807490.4505630885</v>
      </c>
      <c r="I47" s="1478">
        <f>'[2]Adjusted Amounts'!I198</f>
        <v>2014.4652695225413</v>
      </c>
      <c r="J47" s="1477">
        <f t="shared" si="12"/>
        <v>3809504.9158326113</v>
      </c>
      <c r="K47" s="1478">
        <f t="shared" si="18"/>
        <v>4673</v>
      </c>
      <c r="L47" s="1477">
        <f t="shared" si="13"/>
        <v>4140278</v>
      </c>
      <c r="M47" s="1479">
        <f t="shared" si="19"/>
        <v>-72454.865000000005</v>
      </c>
      <c r="N47" s="1479">
        <f t="shared" si="20"/>
        <v>-10350.695</v>
      </c>
      <c r="O47" s="1478">
        <f t="shared" si="21"/>
        <v>-82805.56</v>
      </c>
      <c r="P47" s="1478">
        <f t="shared" si="14"/>
        <v>4057472.44</v>
      </c>
      <c r="Q47" s="1478">
        <f>'[12]Adjusted Amounts'!Q198</f>
        <v>2101.5</v>
      </c>
      <c r="R47" s="1477">
        <f t="shared" si="15"/>
        <v>4059573.94</v>
      </c>
      <c r="S47" s="1477">
        <f t="shared" si="16"/>
        <v>338297.82833333331</v>
      </c>
    </row>
    <row r="48" spans="1:26" ht="30.75" customHeight="1">
      <c r="A48" s="1488">
        <v>393002</v>
      </c>
      <c r="B48" s="1489" t="s">
        <v>403</v>
      </c>
      <c r="C48" s="1482">
        <f>'[13]RSD-NO by Site'!D42</f>
        <v>466</v>
      </c>
      <c r="D48" s="1483">
        <f t="shared" si="9"/>
        <v>3520.4894337711748</v>
      </c>
      <c r="E48" s="1483">
        <f t="shared" si="10"/>
        <v>1640548</v>
      </c>
      <c r="F48" s="1484">
        <v>642.89065513553726</v>
      </c>
      <c r="G48" s="1483">
        <f t="shared" si="11"/>
        <v>299587.04529316036</v>
      </c>
      <c r="H48" s="1485">
        <f t="shared" si="17"/>
        <v>1940135.0452931602</v>
      </c>
      <c r="I48" s="1486">
        <f>'[2]Adjusted Amounts'!I199</f>
        <v>1947.4588755535794</v>
      </c>
      <c r="J48" s="1485">
        <f t="shared" si="12"/>
        <v>1942082.5041687139</v>
      </c>
      <c r="K48" s="1486">
        <f t="shared" si="18"/>
        <v>4673</v>
      </c>
      <c r="L48" s="1485">
        <f t="shared" si="13"/>
        <v>2177618</v>
      </c>
      <c r="M48" s="1487">
        <f t="shared" si="19"/>
        <v>-38108.315000000002</v>
      </c>
      <c r="N48" s="1487">
        <f t="shared" si="20"/>
        <v>-5444.0450000000001</v>
      </c>
      <c r="O48" s="1486">
        <f t="shared" si="21"/>
        <v>-43552.36</v>
      </c>
      <c r="P48" s="1486">
        <f t="shared" si="14"/>
        <v>2134065.64</v>
      </c>
      <c r="Q48" s="1486">
        <f>'[12]Adjusted Amounts'!Q199</f>
        <v>2101.5</v>
      </c>
      <c r="R48" s="1485">
        <f t="shared" si="15"/>
        <v>2136167.14</v>
      </c>
      <c r="S48" s="1485">
        <f t="shared" si="16"/>
        <v>178013.92833333334</v>
      </c>
    </row>
    <row r="49" spans="1:21" ht="30.75" customHeight="1">
      <c r="A49" s="1480">
        <v>393003</v>
      </c>
      <c r="B49" s="1481" t="s">
        <v>452</v>
      </c>
      <c r="C49" s="1511">
        <f>'[13]RSD-NO by Site'!D43</f>
        <v>444</v>
      </c>
      <c r="D49" s="1483">
        <f t="shared" si="9"/>
        <v>3520.4894337711748</v>
      </c>
      <c r="E49" s="1483">
        <f t="shared" si="10"/>
        <v>1563097</v>
      </c>
      <c r="F49" s="1484">
        <v>746.0335616438357</v>
      </c>
      <c r="G49" s="1483">
        <f t="shared" si="11"/>
        <v>331238.90136986307</v>
      </c>
      <c r="H49" s="1485">
        <f t="shared" si="17"/>
        <v>1894335.9013698632</v>
      </c>
      <c r="I49" s="1486">
        <f>'[2]Adjusted Amounts'!I200</f>
        <v>0</v>
      </c>
      <c r="J49" s="1485">
        <f t="shared" si="12"/>
        <v>1894335.9013698632</v>
      </c>
      <c r="K49" s="1486">
        <f t="shared" si="18"/>
        <v>4673</v>
      </c>
      <c r="L49" s="1485">
        <f t="shared" si="13"/>
        <v>2074812</v>
      </c>
      <c r="M49" s="1487">
        <f t="shared" si="19"/>
        <v>-36309.210000000006</v>
      </c>
      <c r="N49" s="1487">
        <f t="shared" si="20"/>
        <v>-5187.03</v>
      </c>
      <c r="O49" s="1486">
        <f t="shared" si="21"/>
        <v>-41496.240000000005</v>
      </c>
      <c r="P49" s="1486">
        <f t="shared" si="14"/>
        <v>2033315.76</v>
      </c>
      <c r="Q49" s="1486">
        <f>'[12]Adjusted Amounts'!Q200</f>
        <v>0</v>
      </c>
      <c r="R49" s="1485">
        <f t="shared" si="15"/>
        <v>2033315.76</v>
      </c>
      <c r="S49" s="1485">
        <f t="shared" si="16"/>
        <v>169442.98</v>
      </c>
    </row>
    <row r="50" spans="1:21" ht="30.75" customHeight="1">
      <c r="A50" s="1488">
        <v>395001</v>
      </c>
      <c r="B50" s="1489" t="s">
        <v>268</v>
      </c>
      <c r="C50" s="1482">
        <f>'[13]RSD-NO by Site'!D44</f>
        <v>673</v>
      </c>
      <c r="D50" s="1483">
        <f t="shared" si="9"/>
        <v>3520.4894337711748</v>
      </c>
      <c r="E50" s="1483">
        <f t="shared" si="10"/>
        <v>2369289</v>
      </c>
      <c r="F50" s="1484">
        <v>678.38194087511556</v>
      </c>
      <c r="G50" s="1483">
        <f t="shared" si="11"/>
        <v>456551.04620895279</v>
      </c>
      <c r="H50" s="1485">
        <f t="shared" si="17"/>
        <v>2825840.0462089526</v>
      </c>
      <c r="I50" s="1486">
        <f>'[2]Adjusted Amounts'!I201</f>
        <v>-19208.648799330509</v>
      </c>
      <c r="J50" s="1485">
        <f t="shared" si="12"/>
        <v>2806631.3974096221</v>
      </c>
      <c r="K50" s="1486">
        <f t="shared" si="18"/>
        <v>4673</v>
      </c>
      <c r="L50" s="1485">
        <f t="shared" si="13"/>
        <v>3144929</v>
      </c>
      <c r="M50" s="1487">
        <f t="shared" si="19"/>
        <v>-55036.257500000007</v>
      </c>
      <c r="N50" s="1487">
        <f t="shared" si="20"/>
        <v>-7862.3225000000002</v>
      </c>
      <c r="O50" s="1486">
        <f t="shared" si="21"/>
        <v>-62898.580000000009</v>
      </c>
      <c r="P50" s="1486">
        <f t="shared" si="14"/>
        <v>3082030.42</v>
      </c>
      <c r="Q50" s="1486">
        <f>'[12]Adjusted Amounts'!Q201</f>
        <v>-6297.5</v>
      </c>
      <c r="R50" s="1485">
        <f t="shared" si="15"/>
        <v>3075732.92</v>
      </c>
      <c r="S50" s="1485">
        <f t="shared" si="16"/>
        <v>256311.07666666666</v>
      </c>
    </row>
    <row r="51" spans="1:21" ht="30.75" customHeight="1">
      <c r="A51" s="1502">
        <v>395002</v>
      </c>
      <c r="B51" s="1503" t="s">
        <v>269</v>
      </c>
      <c r="C51" s="1504">
        <f>'[13]RSD-NO by Site'!D45</f>
        <v>606</v>
      </c>
      <c r="D51" s="1493">
        <f t="shared" si="9"/>
        <v>3520.4894337711748</v>
      </c>
      <c r="E51" s="1493">
        <f t="shared" si="10"/>
        <v>2133417</v>
      </c>
      <c r="F51" s="1505">
        <v>686.92241021135874</v>
      </c>
      <c r="G51" s="1493">
        <f t="shared" si="11"/>
        <v>416274.98058808339</v>
      </c>
      <c r="H51" s="1495">
        <f t="shared" si="17"/>
        <v>2549691.9805880832</v>
      </c>
      <c r="I51" s="1496">
        <f>'[2]Adjusted Amounts'!I202</f>
        <v>-3892.7998885716588</v>
      </c>
      <c r="J51" s="1495">
        <f t="shared" si="12"/>
        <v>2545799.1806995114</v>
      </c>
      <c r="K51" s="1496">
        <f t="shared" si="18"/>
        <v>4673</v>
      </c>
      <c r="L51" s="1495">
        <f t="shared" si="13"/>
        <v>2831838</v>
      </c>
      <c r="M51" s="1494">
        <f t="shared" si="19"/>
        <v>-49557.165000000008</v>
      </c>
      <c r="N51" s="1494">
        <f t="shared" si="20"/>
        <v>-7079.5950000000003</v>
      </c>
      <c r="O51" s="1496">
        <f t="shared" si="21"/>
        <v>-56636.760000000009</v>
      </c>
      <c r="P51" s="1496">
        <f t="shared" si="14"/>
        <v>2775201.24</v>
      </c>
      <c r="Q51" s="1496">
        <f>'[12]Adjusted Amounts'!Q202</f>
        <v>-4189</v>
      </c>
      <c r="R51" s="1495">
        <f t="shared" si="15"/>
        <v>2771012.24</v>
      </c>
      <c r="S51" s="1495">
        <f t="shared" si="16"/>
        <v>230917.68666666668</v>
      </c>
    </row>
    <row r="52" spans="1:21" ht="30.75" customHeight="1">
      <c r="A52" s="1506">
        <v>395003</v>
      </c>
      <c r="B52" s="1507" t="s">
        <v>270</v>
      </c>
      <c r="C52" s="1474">
        <f>'[13]RSD-NO by Site'!D46</f>
        <v>634</v>
      </c>
      <c r="D52" s="1475">
        <f t="shared" si="9"/>
        <v>3520.4894337711748</v>
      </c>
      <c r="E52" s="1475">
        <f t="shared" si="10"/>
        <v>2231990</v>
      </c>
      <c r="F52" s="1476">
        <v>761.3587570202327</v>
      </c>
      <c r="G52" s="1475">
        <f t="shared" si="11"/>
        <v>482701.45195082756</v>
      </c>
      <c r="H52" s="1477">
        <f t="shared" si="17"/>
        <v>2714691.4519508276</v>
      </c>
      <c r="I52" s="1478">
        <f>'[2]Adjusted Amounts'!I203</f>
        <v>-38409.203719952857</v>
      </c>
      <c r="J52" s="1477">
        <f t="shared" si="12"/>
        <v>2676282.2482308745</v>
      </c>
      <c r="K52" s="1478">
        <f t="shared" si="18"/>
        <v>4673</v>
      </c>
      <c r="L52" s="1477">
        <f t="shared" si="13"/>
        <v>2962682</v>
      </c>
      <c r="M52" s="1479">
        <f t="shared" si="19"/>
        <v>-51846.935000000005</v>
      </c>
      <c r="N52" s="1479">
        <f t="shared" si="20"/>
        <v>-7406.7049999999999</v>
      </c>
      <c r="O52" s="1478">
        <f t="shared" si="21"/>
        <v>-59253.640000000007</v>
      </c>
      <c r="P52" s="1478">
        <f t="shared" si="14"/>
        <v>2903428.36</v>
      </c>
      <c r="Q52" s="1478">
        <f>'[12]Adjusted Amounts'!Q203</f>
        <v>-37743</v>
      </c>
      <c r="R52" s="1477">
        <f t="shared" si="15"/>
        <v>2865685.36</v>
      </c>
      <c r="S52" s="1477">
        <f t="shared" si="16"/>
        <v>238807.11333333331</v>
      </c>
    </row>
    <row r="53" spans="1:21" ht="30.75" customHeight="1">
      <c r="A53" s="1488">
        <v>395004</v>
      </c>
      <c r="B53" s="1489" t="s">
        <v>271</v>
      </c>
      <c r="C53" s="1482">
        <f>'[13]RSD-NO by Site'!D47</f>
        <v>475</v>
      </c>
      <c r="D53" s="1483">
        <f t="shared" si="9"/>
        <v>3520.4894337711748</v>
      </c>
      <c r="E53" s="1483">
        <f t="shared" si="10"/>
        <v>1672232</v>
      </c>
      <c r="F53" s="1484">
        <v>1003.4698393033485</v>
      </c>
      <c r="G53" s="1483">
        <f t="shared" si="11"/>
        <v>476648.17366909055</v>
      </c>
      <c r="H53" s="1485">
        <f t="shared" si="17"/>
        <v>2148880.1736690905</v>
      </c>
      <c r="I53" s="1486">
        <f>'[2]Adjusted Amounts'!I204</f>
        <v>-24019.310514481713</v>
      </c>
      <c r="J53" s="1485">
        <f t="shared" si="12"/>
        <v>2124860.8631546088</v>
      </c>
      <c r="K53" s="1486">
        <f t="shared" si="18"/>
        <v>4673</v>
      </c>
      <c r="L53" s="1485">
        <f t="shared" si="13"/>
        <v>2219675</v>
      </c>
      <c r="M53" s="1487">
        <f t="shared" si="19"/>
        <v>-38844.312500000007</v>
      </c>
      <c r="N53" s="1487">
        <f t="shared" si="20"/>
        <v>-5549.1875</v>
      </c>
      <c r="O53" s="1486">
        <f t="shared" si="21"/>
        <v>-44393.500000000007</v>
      </c>
      <c r="P53" s="1486">
        <f t="shared" si="14"/>
        <v>2175281.5</v>
      </c>
      <c r="Q53" s="1486">
        <f>'[12]Adjusted Amounts'!Q204</f>
        <v>-20966</v>
      </c>
      <c r="R53" s="1485">
        <f t="shared" si="15"/>
        <v>2154315.5</v>
      </c>
      <c r="S53" s="1485">
        <f t="shared" si="16"/>
        <v>179526.29166666666</v>
      </c>
    </row>
    <row r="54" spans="1:21" ht="30.75" customHeight="1">
      <c r="A54" s="1488">
        <v>395005</v>
      </c>
      <c r="B54" s="1489" t="s">
        <v>272</v>
      </c>
      <c r="C54" s="1482">
        <f>'[13]RSD-NO by Site'!D48</f>
        <v>879</v>
      </c>
      <c r="D54" s="1483">
        <f t="shared" si="9"/>
        <v>3520.4894337711748</v>
      </c>
      <c r="E54" s="1483">
        <f t="shared" si="10"/>
        <v>3094510</v>
      </c>
      <c r="F54" s="1484">
        <v>592.05529010815155</v>
      </c>
      <c r="G54" s="1483">
        <f t="shared" si="11"/>
        <v>520416.60000506521</v>
      </c>
      <c r="H54" s="1485">
        <f t="shared" si="17"/>
        <v>3614926.6000050651</v>
      </c>
      <c r="I54" s="1486">
        <f>'[2]Adjusted Amounts'!I205</f>
        <v>-103721.21890892257</v>
      </c>
      <c r="J54" s="1485">
        <f t="shared" si="12"/>
        <v>3511205.3810961423</v>
      </c>
      <c r="K54" s="1486">
        <f t="shared" si="18"/>
        <v>4673</v>
      </c>
      <c r="L54" s="1485">
        <f t="shared" si="13"/>
        <v>4107567</v>
      </c>
      <c r="M54" s="1487">
        <f t="shared" si="19"/>
        <v>-71882.422500000001</v>
      </c>
      <c r="N54" s="1487">
        <f t="shared" si="20"/>
        <v>-10268.9175</v>
      </c>
      <c r="O54" s="1486">
        <f t="shared" si="21"/>
        <v>-82151.34</v>
      </c>
      <c r="P54" s="1486">
        <f t="shared" si="14"/>
        <v>4025415.66</v>
      </c>
      <c r="Q54" s="1486">
        <f>'[12]Adjusted Amounts'!Q205</f>
        <v>-94427.5</v>
      </c>
      <c r="R54" s="1485">
        <f t="shared" si="15"/>
        <v>3930988.16</v>
      </c>
      <c r="S54" s="1485">
        <f t="shared" si="16"/>
        <v>327582.34666666668</v>
      </c>
    </row>
    <row r="55" spans="1:21" ht="30.75" customHeight="1">
      <c r="A55" s="1488">
        <v>395007</v>
      </c>
      <c r="B55" s="1489" t="s">
        <v>267</v>
      </c>
      <c r="C55" s="1482">
        <f>'[13]RSD-NO by Site'!D49</f>
        <v>261</v>
      </c>
      <c r="D55" s="1483">
        <f t="shared" si="9"/>
        <v>3520.4894337711748</v>
      </c>
      <c r="E55" s="1483">
        <f t="shared" si="10"/>
        <v>918848</v>
      </c>
      <c r="F55" s="1484">
        <v>907.69666061705993</v>
      </c>
      <c r="G55" s="1483">
        <f t="shared" si="11"/>
        <v>236908.82842105263</v>
      </c>
      <c r="H55" s="1485">
        <f t="shared" si="17"/>
        <v>1155756.8284210525</v>
      </c>
      <c r="I55" s="1486">
        <f>'[2]Adjusted Amounts'!I206</f>
        <v>-17927.028628168486</v>
      </c>
      <c r="J55" s="1485">
        <f t="shared" si="12"/>
        <v>1137829.7997928842</v>
      </c>
      <c r="K55" s="1486">
        <f t="shared" si="18"/>
        <v>4673</v>
      </c>
      <c r="L55" s="1485">
        <f t="shared" si="13"/>
        <v>1219653</v>
      </c>
      <c r="M55" s="1487">
        <f t="shared" si="19"/>
        <v>-21343.927500000002</v>
      </c>
      <c r="N55" s="1487">
        <f t="shared" si="20"/>
        <v>-3049.1325000000002</v>
      </c>
      <c r="O55" s="1486">
        <f t="shared" si="21"/>
        <v>-24393.06</v>
      </c>
      <c r="P55" s="1486">
        <f t="shared" si="14"/>
        <v>1195259.94</v>
      </c>
      <c r="Q55" s="1486">
        <f>'[12]Adjusted Amounts'!Q206</f>
        <v>21</v>
      </c>
      <c r="R55" s="1485">
        <f t="shared" si="15"/>
        <v>1195280.94</v>
      </c>
      <c r="S55" s="1485">
        <f t="shared" si="16"/>
        <v>99606.744999999995</v>
      </c>
    </row>
    <row r="56" spans="1:21" ht="30.75" customHeight="1">
      <c r="A56" s="1502">
        <v>397001</v>
      </c>
      <c r="B56" s="1503" t="s">
        <v>266</v>
      </c>
      <c r="C56" s="1504">
        <f>'[13]RSD-NO by Site'!D50</f>
        <v>483</v>
      </c>
      <c r="D56" s="1493">
        <f t="shared" si="9"/>
        <v>3520.4894337711748</v>
      </c>
      <c r="E56" s="1493">
        <f t="shared" si="10"/>
        <v>1700396</v>
      </c>
      <c r="F56" s="1505">
        <v>741.72363820787723</v>
      </c>
      <c r="G56" s="1493">
        <f t="shared" si="11"/>
        <v>358252.51725440472</v>
      </c>
      <c r="H56" s="1495">
        <f t="shared" si="17"/>
        <v>2058648.5172544047</v>
      </c>
      <c r="I56" s="1496">
        <f>'[2]Adjusted Amounts'!I207</f>
        <v>0</v>
      </c>
      <c r="J56" s="1495">
        <f t="shared" si="12"/>
        <v>2058648.5172544047</v>
      </c>
      <c r="K56" s="1496">
        <f t="shared" si="18"/>
        <v>4673</v>
      </c>
      <c r="L56" s="1495">
        <f t="shared" si="13"/>
        <v>2257059</v>
      </c>
      <c r="M56" s="1494">
        <f t="shared" si="19"/>
        <v>-39498.532500000001</v>
      </c>
      <c r="N56" s="1494">
        <f t="shared" si="20"/>
        <v>-5642.6475</v>
      </c>
      <c r="O56" s="1496">
        <f t="shared" si="21"/>
        <v>-45141.18</v>
      </c>
      <c r="P56" s="1496">
        <f t="shared" si="14"/>
        <v>2211917.8199999998</v>
      </c>
      <c r="Q56" s="1496">
        <f>'[12]Adjusted Amounts'!Q207</f>
        <v>0</v>
      </c>
      <c r="R56" s="1495">
        <f t="shared" si="15"/>
        <v>2211917.8199999998</v>
      </c>
      <c r="S56" s="1495">
        <f t="shared" si="16"/>
        <v>184326.48499999999</v>
      </c>
    </row>
    <row r="57" spans="1:21" ht="30.75" customHeight="1">
      <c r="A57" s="1506">
        <v>398001</v>
      </c>
      <c r="B57" s="1507" t="s">
        <v>264</v>
      </c>
      <c r="C57" s="1474">
        <f>'[13]RSD-NO by Site'!D51</f>
        <v>603</v>
      </c>
      <c r="D57" s="1475">
        <f t="shared" si="9"/>
        <v>3520.4894337711748</v>
      </c>
      <c r="E57" s="1475">
        <f t="shared" si="10"/>
        <v>2122855</v>
      </c>
      <c r="F57" s="1476">
        <v>643.94778836855926</v>
      </c>
      <c r="G57" s="1475">
        <f t="shared" si="11"/>
        <v>388300.51638624124</v>
      </c>
      <c r="H57" s="1477">
        <f t="shared" si="17"/>
        <v>2511155.5163862412</v>
      </c>
      <c r="I57" s="1478">
        <f>'[2]Adjusted Amounts'!I208</f>
        <v>-8439.5432957393314</v>
      </c>
      <c r="J57" s="1477">
        <f t="shared" si="12"/>
        <v>2502715.973090502</v>
      </c>
      <c r="K57" s="1478">
        <f t="shared" si="18"/>
        <v>4673</v>
      </c>
      <c r="L57" s="1477">
        <f t="shared" si="13"/>
        <v>2817819</v>
      </c>
      <c r="M57" s="1479">
        <f t="shared" si="19"/>
        <v>-49311.832500000004</v>
      </c>
      <c r="N57" s="1479">
        <f t="shared" si="20"/>
        <v>-7044.5475000000006</v>
      </c>
      <c r="O57" s="1478">
        <f t="shared" si="21"/>
        <v>-56356.380000000005</v>
      </c>
      <c r="P57" s="1478">
        <f t="shared" si="14"/>
        <v>2761462.62</v>
      </c>
      <c r="Q57" s="1478">
        <f>'[12]Adjusted Amounts'!Q208</f>
        <v>0</v>
      </c>
      <c r="R57" s="1477">
        <f t="shared" si="15"/>
        <v>2761462.62</v>
      </c>
      <c r="S57" s="1477">
        <f t="shared" si="16"/>
        <v>230121.88500000001</v>
      </c>
      <c r="T57" s="1207"/>
      <c r="U57" s="1207"/>
    </row>
    <row r="58" spans="1:21" ht="29.25">
      <c r="A58" s="1488">
        <v>398002</v>
      </c>
      <c r="B58" s="1489" t="s">
        <v>265</v>
      </c>
      <c r="C58" s="1482">
        <f>'[13]RSD-NO by Site'!D52</f>
        <v>763</v>
      </c>
      <c r="D58" s="1483">
        <f t="shared" si="9"/>
        <v>3520.4894337711748</v>
      </c>
      <c r="E58" s="1483">
        <f t="shared" si="10"/>
        <v>2686133</v>
      </c>
      <c r="F58" s="1484">
        <v>724.79250196607131</v>
      </c>
      <c r="G58" s="1483">
        <f t="shared" si="11"/>
        <v>553016.67900011246</v>
      </c>
      <c r="H58" s="1485">
        <f t="shared" si="17"/>
        <v>3239149.6790001122</v>
      </c>
      <c r="I58" s="1486">
        <f>'[2]Adjusted Amounts'!I209</f>
        <v>5965.2293969065395</v>
      </c>
      <c r="J58" s="1485">
        <f t="shared" si="12"/>
        <v>3245114.9083970189</v>
      </c>
      <c r="K58" s="1486">
        <f t="shared" si="18"/>
        <v>4673</v>
      </c>
      <c r="L58" s="1485">
        <f t="shared" si="13"/>
        <v>3565499</v>
      </c>
      <c r="M58" s="1487">
        <f t="shared" si="19"/>
        <v>-62396.232500000006</v>
      </c>
      <c r="N58" s="1487">
        <f t="shared" si="20"/>
        <v>-8913.7474999999995</v>
      </c>
      <c r="O58" s="1486">
        <f t="shared" si="21"/>
        <v>-71309.98000000001</v>
      </c>
      <c r="P58" s="1486">
        <f t="shared" si="14"/>
        <v>3494189.02</v>
      </c>
      <c r="Q58" s="1486">
        <f>'[12]Adjusted Amounts'!Q209</f>
        <v>6304.5</v>
      </c>
      <c r="R58" s="1485">
        <f t="shared" si="15"/>
        <v>3500493.52</v>
      </c>
      <c r="S58" s="1485">
        <f t="shared" si="16"/>
        <v>291707.79333333333</v>
      </c>
      <c r="T58" s="549"/>
      <c r="U58" s="549"/>
    </row>
    <row r="59" spans="1:21" ht="30.75" customHeight="1">
      <c r="A59" s="1488">
        <v>398003</v>
      </c>
      <c r="B59" s="1489" t="s">
        <v>263</v>
      </c>
      <c r="C59" s="1482">
        <f>'[13]RSD-NO by Site'!D53</f>
        <v>405</v>
      </c>
      <c r="D59" s="1483">
        <f t="shared" si="9"/>
        <v>3520.4894337711748</v>
      </c>
      <c r="E59" s="1483">
        <f t="shared" si="10"/>
        <v>1425798</v>
      </c>
      <c r="F59" s="1484">
        <v>592.5310423197493</v>
      </c>
      <c r="G59" s="1483">
        <f t="shared" si="11"/>
        <v>239975.07213949846</v>
      </c>
      <c r="H59" s="1485">
        <f t="shared" si="17"/>
        <v>1665773.0721394985</v>
      </c>
      <c r="I59" s="1486">
        <f>'[2]Adjusted Amounts'!I210</f>
        <v>-1265.9733586273378</v>
      </c>
      <c r="J59" s="1485">
        <f t="shared" si="12"/>
        <v>1664507.0987808711</v>
      </c>
      <c r="K59" s="1486">
        <f t="shared" si="18"/>
        <v>4673</v>
      </c>
      <c r="L59" s="1485">
        <f t="shared" si="13"/>
        <v>1892565</v>
      </c>
      <c r="M59" s="1487">
        <f t="shared" si="19"/>
        <v>-33119.887500000004</v>
      </c>
      <c r="N59" s="1487">
        <f t="shared" si="20"/>
        <v>-4731.4125000000004</v>
      </c>
      <c r="O59" s="1486">
        <f t="shared" si="21"/>
        <v>-37851.300000000003</v>
      </c>
      <c r="P59" s="1486">
        <f t="shared" si="14"/>
        <v>1854713.7</v>
      </c>
      <c r="Q59" s="1486">
        <f>'[12]Adjusted Amounts'!Q210</f>
        <v>6304.5</v>
      </c>
      <c r="R59" s="1485">
        <f t="shared" si="15"/>
        <v>1861018.2</v>
      </c>
      <c r="S59" s="1485">
        <f t="shared" si="16"/>
        <v>155084.85</v>
      </c>
    </row>
    <row r="60" spans="1:21" ht="30.75" customHeight="1">
      <c r="A60" s="1488">
        <v>398004</v>
      </c>
      <c r="B60" s="1489" t="s">
        <v>339</v>
      </c>
      <c r="C60" s="1482">
        <f>'[14]KIPP by Site &amp; Grade'!$R$7</f>
        <v>513</v>
      </c>
      <c r="D60" s="1483">
        <f t="shared" si="9"/>
        <v>3520.4894337711748</v>
      </c>
      <c r="E60" s="1483">
        <f t="shared" si="10"/>
        <v>1806011</v>
      </c>
      <c r="F60" s="1484">
        <v>741.31578947368428</v>
      </c>
      <c r="G60" s="1483">
        <f t="shared" si="11"/>
        <v>380295.00000000006</v>
      </c>
      <c r="H60" s="1485">
        <f t="shared" si="17"/>
        <v>2186306</v>
      </c>
      <c r="I60" s="1486">
        <f>'[2]Adjusted Amounts'!I211</f>
        <v>0</v>
      </c>
      <c r="J60" s="1485">
        <f t="shared" si="12"/>
        <v>2186306</v>
      </c>
      <c r="K60" s="1486">
        <f t="shared" si="18"/>
        <v>4673</v>
      </c>
      <c r="L60" s="1485">
        <f t="shared" si="13"/>
        <v>2397249</v>
      </c>
      <c r="M60" s="1487">
        <f t="shared" si="19"/>
        <v>-41951.857500000006</v>
      </c>
      <c r="N60" s="1487">
        <f t="shared" si="20"/>
        <v>-5993.1225000000004</v>
      </c>
      <c r="O60" s="1486">
        <f t="shared" si="21"/>
        <v>-47944.98</v>
      </c>
      <c r="P60" s="1486">
        <f t="shared" si="14"/>
        <v>2349304.02</v>
      </c>
      <c r="Q60" s="1486">
        <f>'[12]Adjusted Amounts'!Q211</f>
        <v>0</v>
      </c>
      <c r="R60" s="1485">
        <f t="shared" si="15"/>
        <v>2349304.02</v>
      </c>
      <c r="S60" s="1485">
        <f t="shared" si="16"/>
        <v>195775.33499999999</v>
      </c>
    </row>
    <row r="61" spans="1:21" ht="30.75" customHeight="1">
      <c r="A61" s="1502">
        <v>398005</v>
      </c>
      <c r="B61" s="1503" t="s">
        <v>337</v>
      </c>
      <c r="C61" s="1504">
        <f>'[13]RSD-NO by Site'!D55</f>
        <v>343</v>
      </c>
      <c r="D61" s="1493">
        <f t="shared" si="9"/>
        <v>3520.4894337711748</v>
      </c>
      <c r="E61" s="1493">
        <f t="shared" si="10"/>
        <v>1207528</v>
      </c>
      <c r="F61" s="1505">
        <v>746.0335616438357</v>
      </c>
      <c r="G61" s="1493">
        <f t="shared" si="11"/>
        <v>255889.51164383563</v>
      </c>
      <c r="H61" s="1495">
        <f t="shared" si="17"/>
        <v>1463417.5116438356</v>
      </c>
      <c r="I61" s="1496">
        <f>'[2]Adjusted Amounts'!I212</f>
        <v>430.97853243066493</v>
      </c>
      <c r="J61" s="1495">
        <f t="shared" si="12"/>
        <v>1463848.4901762663</v>
      </c>
      <c r="K61" s="1496">
        <f t="shared" si="18"/>
        <v>4673</v>
      </c>
      <c r="L61" s="1495">
        <f t="shared" si="13"/>
        <v>1602839</v>
      </c>
      <c r="M61" s="1494">
        <f t="shared" si="19"/>
        <v>-28049.682500000003</v>
      </c>
      <c r="N61" s="1494">
        <f t="shared" si="20"/>
        <v>-4007.0975000000003</v>
      </c>
      <c r="O61" s="1496">
        <f t="shared" si="21"/>
        <v>-32056.780000000002</v>
      </c>
      <c r="P61" s="1496">
        <f t="shared" si="14"/>
        <v>1570782.22</v>
      </c>
      <c r="Q61" s="1496">
        <f>'[12]Adjusted Amounts'!Q212</f>
        <v>10507.5</v>
      </c>
      <c r="R61" s="1495">
        <f t="shared" si="15"/>
        <v>1581289.72</v>
      </c>
      <c r="S61" s="1495">
        <f t="shared" si="16"/>
        <v>131774.14333333334</v>
      </c>
    </row>
    <row r="62" spans="1:21" ht="30.75" customHeight="1">
      <c r="A62" s="1506">
        <v>398006</v>
      </c>
      <c r="B62" s="1507" t="s">
        <v>338</v>
      </c>
      <c r="C62" s="1474">
        <f>'[13]RSD-NO by Site'!D56</f>
        <v>514</v>
      </c>
      <c r="D62" s="1475">
        <f t="shared" si="9"/>
        <v>3520.4894337711748</v>
      </c>
      <c r="E62" s="1475">
        <f>ROUND(C62*D62,0)</f>
        <v>1809532</v>
      </c>
      <c r="F62" s="1476">
        <v>746.0335616438357</v>
      </c>
      <c r="G62" s="1475">
        <f>F62*C62</f>
        <v>383461.25068493153</v>
      </c>
      <c r="H62" s="1477">
        <f>E62+G62</f>
        <v>2192993.2506849314</v>
      </c>
      <c r="I62" s="1478">
        <f>'[2]Adjusted Amounts'!I213</f>
        <v>3998.0606576154573</v>
      </c>
      <c r="J62" s="1477">
        <f t="shared" ref="J62:J68" si="32">H62+I62</f>
        <v>2196991.3113425467</v>
      </c>
      <c r="K62" s="1478">
        <f t="shared" si="18"/>
        <v>4673</v>
      </c>
      <c r="L62" s="1477">
        <f t="shared" si="13"/>
        <v>2401922</v>
      </c>
      <c r="M62" s="1479">
        <f t="shared" si="19"/>
        <v>-42033.635000000002</v>
      </c>
      <c r="N62" s="1479">
        <f t="shared" si="20"/>
        <v>-6004.8050000000003</v>
      </c>
      <c r="O62" s="1478">
        <f t="shared" si="21"/>
        <v>-48038.44</v>
      </c>
      <c r="P62" s="1478">
        <f t="shared" si="14"/>
        <v>2353883.56</v>
      </c>
      <c r="Q62" s="1478">
        <f>'[12]Adjusted Amounts'!Q213</f>
        <v>4203</v>
      </c>
      <c r="R62" s="1477">
        <f t="shared" si="15"/>
        <v>2358086.56</v>
      </c>
      <c r="S62" s="1477">
        <f t="shared" si="16"/>
        <v>196507.21333333335</v>
      </c>
    </row>
    <row r="63" spans="1:21" ht="30.75" customHeight="1">
      <c r="A63" s="1488">
        <v>399001</v>
      </c>
      <c r="B63" s="1489" t="s">
        <v>340</v>
      </c>
      <c r="C63" s="1482">
        <f>'[13]RSD-NO by Site'!D57</f>
        <v>508</v>
      </c>
      <c r="D63" s="1483">
        <f t="shared" si="9"/>
        <v>3520.4894337711748</v>
      </c>
      <c r="E63" s="1483">
        <f>ROUND(C63*D63,0)</f>
        <v>1788409</v>
      </c>
      <c r="F63" s="1484">
        <v>752.85062142702634</v>
      </c>
      <c r="G63" s="1483">
        <f>F63*C63</f>
        <v>382448.11568492936</v>
      </c>
      <c r="H63" s="1485">
        <f>E63+G63</f>
        <v>2170857.1156849293</v>
      </c>
      <c r="I63" s="1486">
        <f>'[2]Adjusted Amounts'!I214</f>
        <v>-3516.4052830321971</v>
      </c>
      <c r="J63" s="1485">
        <f t="shared" si="32"/>
        <v>2167340.7104018973</v>
      </c>
      <c r="K63" s="1486">
        <f t="shared" si="18"/>
        <v>4673</v>
      </c>
      <c r="L63" s="1485">
        <f t="shared" si="13"/>
        <v>2373884</v>
      </c>
      <c r="M63" s="1487">
        <f t="shared" si="19"/>
        <v>-41542.97</v>
      </c>
      <c r="N63" s="1487">
        <f t="shared" si="20"/>
        <v>-5934.71</v>
      </c>
      <c r="O63" s="1486">
        <f t="shared" si="21"/>
        <v>-47477.68</v>
      </c>
      <c r="P63" s="1486">
        <f t="shared" si="14"/>
        <v>2326406.3199999998</v>
      </c>
      <c r="Q63" s="1486">
        <f>'[12]Adjusted Amounts'!Q214</f>
        <v>0</v>
      </c>
      <c r="R63" s="1485">
        <f t="shared" si="15"/>
        <v>2326406.3199999998</v>
      </c>
      <c r="S63" s="1485">
        <f t="shared" si="16"/>
        <v>193867.19333333333</v>
      </c>
    </row>
    <row r="64" spans="1:21" ht="30.75" customHeight="1">
      <c r="A64" s="1488">
        <v>399002</v>
      </c>
      <c r="B64" s="1489" t="s">
        <v>341</v>
      </c>
      <c r="C64" s="1517">
        <f>'[13]RSD-NO by Site'!D58</f>
        <v>485</v>
      </c>
      <c r="D64" s="1483">
        <f t="shared" si="9"/>
        <v>3520.4894337711748</v>
      </c>
      <c r="E64" s="1483">
        <f>ROUND(C64*D64,0)</f>
        <v>1707437</v>
      </c>
      <c r="F64" s="1484">
        <v>803.97152919927748</v>
      </c>
      <c r="G64" s="1483">
        <f>F64*C64</f>
        <v>389926.19166164956</v>
      </c>
      <c r="H64" s="1485">
        <f>E64+G64</f>
        <v>2097363.1916616494</v>
      </c>
      <c r="I64" s="1486">
        <f>'[2]Adjusted Amounts'!I215</f>
        <v>-15666.0156532652</v>
      </c>
      <c r="J64" s="1485">
        <f t="shared" si="32"/>
        <v>2081697.1760083842</v>
      </c>
      <c r="K64" s="1486">
        <f t="shared" si="18"/>
        <v>4673</v>
      </c>
      <c r="L64" s="1485">
        <f>C64*K64</f>
        <v>2266405</v>
      </c>
      <c r="M64" s="1487">
        <f>-$M$5*L64</f>
        <v>-39662.087500000001</v>
      </c>
      <c r="N64" s="1487">
        <f>-$N$5*L64</f>
        <v>-5666.0124999999998</v>
      </c>
      <c r="O64" s="1486">
        <f>M64+N64</f>
        <v>-45328.1</v>
      </c>
      <c r="P64" s="1486">
        <f>L64+O64</f>
        <v>2221076.9</v>
      </c>
      <c r="Q64" s="1486">
        <f>'[12]Adjusted Amounts'!Q215</f>
        <v>-2101.5</v>
      </c>
      <c r="R64" s="1485">
        <f t="shared" ref="R64:R68" si="33">SUM(P64:Q64)</f>
        <v>2218975.4</v>
      </c>
      <c r="S64" s="1485">
        <f t="shared" ref="S64:S68" si="34">R64/12</f>
        <v>184914.61666666667</v>
      </c>
    </row>
    <row r="65" spans="1:26" ht="30.75" customHeight="1">
      <c r="A65" s="1488">
        <v>399003</v>
      </c>
      <c r="B65" s="1489" t="s">
        <v>428</v>
      </c>
      <c r="C65" s="1517">
        <f>'[13]RSD-NO by Site'!D59</f>
        <v>394</v>
      </c>
      <c r="D65" s="1483">
        <f t="shared" si="9"/>
        <v>3520.4894337711748</v>
      </c>
      <c r="E65" s="1483">
        <f t="shared" ref="E65:E68" si="35">ROUND(C65*D65,0)</f>
        <v>1387073</v>
      </c>
      <c r="F65" s="1484">
        <v>746.0335616438357</v>
      </c>
      <c r="G65" s="1483">
        <f t="shared" ref="G65:G68" si="36">F65*C65</f>
        <v>293937.22328767128</v>
      </c>
      <c r="H65" s="1485">
        <f t="shared" ref="H65:H68" si="37">E65+G65</f>
        <v>1681010.2232876713</v>
      </c>
      <c r="I65" s="1486">
        <f>'[2]Adjusted Amounts'!I216</f>
        <v>-1360.5831120636303</v>
      </c>
      <c r="J65" s="1485">
        <f t="shared" si="32"/>
        <v>1679649.6401756078</v>
      </c>
      <c r="K65" s="1486">
        <f t="shared" si="18"/>
        <v>4673</v>
      </c>
      <c r="L65" s="1485">
        <f t="shared" ref="L65:L68" si="38">C65*K65</f>
        <v>1841162</v>
      </c>
      <c r="M65" s="1487">
        <f t="shared" ref="M65:M68" si="39">-$M$5*L65</f>
        <v>-32220.335000000003</v>
      </c>
      <c r="N65" s="1487">
        <f t="shared" ref="N65:N68" si="40">-$N$5*L65</f>
        <v>-4602.9049999999997</v>
      </c>
      <c r="O65" s="1486">
        <f t="shared" ref="O65:O68" si="41">M65+N65</f>
        <v>-36823.240000000005</v>
      </c>
      <c r="P65" s="1486">
        <f t="shared" ref="P65:P68" si="42">L65+O65</f>
        <v>1804338.76</v>
      </c>
      <c r="Q65" s="1486">
        <f>'[12]Adjusted Amounts'!Q216</f>
        <v>14</v>
      </c>
      <c r="R65" s="1485">
        <f t="shared" si="33"/>
        <v>1804352.76</v>
      </c>
      <c r="S65" s="1485">
        <f t="shared" si="34"/>
        <v>150362.73000000001</v>
      </c>
    </row>
    <row r="66" spans="1:26" ht="30.75" customHeight="1">
      <c r="A66" s="1502">
        <v>399004</v>
      </c>
      <c r="B66" s="1503" t="s">
        <v>342</v>
      </c>
      <c r="C66" s="1518">
        <f>'[13]RSD-NO by Site'!D60</f>
        <v>472</v>
      </c>
      <c r="D66" s="1493">
        <f t="shared" si="9"/>
        <v>3520.4894337711748</v>
      </c>
      <c r="E66" s="1493">
        <f t="shared" si="35"/>
        <v>1661671</v>
      </c>
      <c r="F66" s="1505">
        <v>746.0335616438357</v>
      </c>
      <c r="G66" s="1493">
        <f t="shared" si="36"/>
        <v>352127.84109589044</v>
      </c>
      <c r="H66" s="1495">
        <f t="shared" si="37"/>
        <v>2013798.8410958904</v>
      </c>
      <c r="I66" s="1496">
        <f>'[2]Adjusted Amounts'!I217</f>
        <v>-3516.4052830321971</v>
      </c>
      <c r="J66" s="1495">
        <f t="shared" si="32"/>
        <v>2010282.4358128582</v>
      </c>
      <c r="K66" s="1496">
        <f t="shared" si="18"/>
        <v>4673</v>
      </c>
      <c r="L66" s="1495">
        <f t="shared" si="38"/>
        <v>2205656</v>
      </c>
      <c r="M66" s="1494">
        <f t="shared" si="39"/>
        <v>-38598.980000000003</v>
      </c>
      <c r="N66" s="1494">
        <f t="shared" si="40"/>
        <v>-5514.14</v>
      </c>
      <c r="O66" s="1496">
        <f t="shared" si="41"/>
        <v>-44113.120000000003</v>
      </c>
      <c r="P66" s="1496">
        <f t="shared" si="42"/>
        <v>2161542.88</v>
      </c>
      <c r="Q66" s="1496">
        <f>'[12]Adjusted Amounts'!Q217</f>
        <v>0</v>
      </c>
      <c r="R66" s="1495">
        <f t="shared" si="33"/>
        <v>2161542.88</v>
      </c>
      <c r="S66" s="1495">
        <f t="shared" si="34"/>
        <v>180128.57333333333</v>
      </c>
    </row>
    <row r="67" spans="1:26" ht="30.75" customHeight="1">
      <c r="A67" s="771">
        <v>399005</v>
      </c>
      <c r="B67" s="435" t="s">
        <v>504</v>
      </c>
      <c r="C67" s="1187">
        <f>'[13]RSD-NO by Site'!D61</f>
        <v>645</v>
      </c>
      <c r="D67" s="1154">
        <f t="shared" si="9"/>
        <v>3520.4894337711748</v>
      </c>
      <c r="E67" s="1154">
        <f t="shared" si="35"/>
        <v>2270716</v>
      </c>
      <c r="F67" s="1425">
        <v>746.0335616438357</v>
      </c>
      <c r="G67" s="1130">
        <f t="shared" si="36"/>
        <v>481191.64726027404</v>
      </c>
      <c r="H67" s="1131">
        <f t="shared" si="37"/>
        <v>2751907.6472602738</v>
      </c>
      <c r="I67" s="1155">
        <f>'[2]Adjusted Amounts'!I218</f>
        <v>0</v>
      </c>
      <c r="J67" s="1131">
        <f t="shared" si="32"/>
        <v>2751907.6472602738</v>
      </c>
      <c r="K67" s="1149">
        <f t="shared" si="18"/>
        <v>4673</v>
      </c>
      <c r="L67" s="1156">
        <f t="shared" si="38"/>
        <v>3014085</v>
      </c>
      <c r="M67" s="1157">
        <f t="shared" si="39"/>
        <v>-52746.487500000003</v>
      </c>
      <c r="N67" s="1157">
        <f t="shared" si="40"/>
        <v>-7535.2125000000005</v>
      </c>
      <c r="O67" s="1155">
        <f t="shared" si="41"/>
        <v>-60281.700000000004</v>
      </c>
      <c r="P67" s="1155">
        <f t="shared" si="42"/>
        <v>2953803.3</v>
      </c>
      <c r="Q67" s="1155">
        <f>'[12]Adjusted Amounts'!Q218</f>
        <v>0</v>
      </c>
      <c r="R67" s="1156">
        <f t="shared" si="33"/>
        <v>2953803.3</v>
      </c>
      <c r="S67" s="1156">
        <f t="shared" si="34"/>
        <v>246150.27499999999</v>
      </c>
    </row>
    <row r="68" spans="1:26" ht="32.25" customHeight="1">
      <c r="A68" s="996" t="s">
        <v>925</v>
      </c>
      <c r="B68" s="997" t="s">
        <v>926</v>
      </c>
      <c r="C68" s="1273">
        <v>626</v>
      </c>
      <c r="D68" s="1154">
        <f t="shared" si="9"/>
        <v>3520.4894337711748</v>
      </c>
      <c r="E68" s="1154">
        <f t="shared" si="35"/>
        <v>2203826</v>
      </c>
      <c r="F68" s="1425">
        <v>746.0335616438357</v>
      </c>
      <c r="G68" s="1130">
        <f t="shared" si="36"/>
        <v>467017.00958904112</v>
      </c>
      <c r="H68" s="1131">
        <f t="shared" si="37"/>
        <v>2670843.0095890411</v>
      </c>
      <c r="I68" s="1155">
        <v>0</v>
      </c>
      <c r="J68" s="1131">
        <f t="shared" si="32"/>
        <v>2670843.0095890411</v>
      </c>
      <c r="K68" s="1149">
        <f t="shared" si="18"/>
        <v>4673</v>
      </c>
      <c r="L68" s="1156">
        <f t="shared" si="38"/>
        <v>2925298</v>
      </c>
      <c r="M68" s="1157">
        <f t="shared" si="39"/>
        <v>-51192.715000000004</v>
      </c>
      <c r="N68" s="1157">
        <f t="shared" si="40"/>
        <v>-7313.2449999999999</v>
      </c>
      <c r="O68" s="1155">
        <f t="shared" si="41"/>
        <v>-58505.960000000006</v>
      </c>
      <c r="P68" s="1155">
        <f t="shared" si="42"/>
        <v>2866792.04</v>
      </c>
      <c r="Q68" s="1155">
        <f>'[12]Adjusted Amounts'!Q218</f>
        <v>0</v>
      </c>
      <c r="R68" s="1156">
        <f t="shared" si="33"/>
        <v>2866792.04</v>
      </c>
      <c r="S68" s="1156">
        <f t="shared" si="34"/>
        <v>238899.33666666667</v>
      </c>
    </row>
    <row r="69" spans="1:26" s="1164" customFormat="1" ht="15.75">
      <c r="A69" s="1152"/>
      <c r="B69" s="1153" t="s">
        <v>80</v>
      </c>
      <c r="C69" s="1159">
        <f>SUM(C12:C68)</f>
        <v>26595</v>
      </c>
      <c r="D69" s="1160"/>
      <c r="E69" s="1159">
        <f>SUM(E12:E68)</f>
        <v>93627415</v>
      </c>
      <c r="F69" s="1159"/>
      <c r="G69" s="1161">
        <f>SUM(G12:G68)</f>
        <v>19486770.073519465</v>
      </c>
      <c r="H69" s="1161">
        <f>SUM(H12:H68)</f>
        <v>113114185.0735195</v>
      </c>
      <c r="I69" s="1161">
        <f>SUM(I12:I68)</f>
        <v>-463360.25569234067</v>
      </c>
      <c r="J69" s="1161">
        <f>SUM(J12:J68)</f>
        <v>112650824.81782714</v>
      </c>
      <c r="K69" s="1162"/>
      <c r="L69" s="1163">
        <f t="shared" ref="L69:S69" si="43">SUM(L12:L68)</f>
        <v>125156633</v>
      </c>
      <c r="M69" s="1163">
        <f t="shared" si="43"/>
        <v>-2190241.0774999997</v>
      </c>
      <c r="N69" s="1163">
        <f t="shared" si="43"/>
        <v>-312891.58250000014</v>
      </c>
      <c r="O69" s="1163">
        <f t="shared" si="43"/>
        <v>-2503132.6600000011</v>
      </c>
      <c r="P69" s="1163">
        <f t="shared" si="43"/>
        <v>122653500.33999999</v>
      </c>
      <c r="Q69" s="1163">
        <f t="shared" si="43"/>
        <v>-306912</v>
      </c>
      <c r="R69" s="1163">
        <f t="shared" si="43"/>
        <v>122346588.33999999</v>
      </c>
      <c r="S69" s="1163">
        <f t="shared" si="43"/>
        <v>10195549.028333336</v>
      </c>
      <c r="T69" s="551"/>
      <c r="U69" s="551"/>
      <c r="V69" s="551"/>
      <c r="W69" s="551"/>
      <c r="X69" s="551"/>
      <c r="Y69" s="551"/>
      <c r="Z69" s="551"/>
    </row>
    <row r="70" spans="1:26" s="1164" customFormat="1" ht="31.5">
      <c r="A70" s="1152"/>
      <c r="B70" s="1153" t="s">
        <v>81</v>
      </c>
      <c r="C70" s="1159">
        <f>C69+C9</f>
        <v>28976</v>
      </c>
      <c r="D70" s="1160"/>
      <c r="E70" s="1159">
        <f>E69+E9</f>
        <v>102009700</v>
      </c>
      <c r="F70" s="1159"/>
      <c r="G70" s="1161">
        <f>G69+G9</f>
        <v>21384551.944738973</v>
      </c>
      <c r="H70" s="1165">
        <f>H69+H9</f>
        <v>123394251.94473901</v>
      </c>
      <c r="I70" s="1166">
        <f>I69+I9</f>
        <v>-785518.1814409392</v>
      </c>
      <c r="J70" s="1163">
        <f>J69+J9</f>
        <v>122608733.76329805</v>
      </c>
      <c r="K70" s="1162"/>
      <c r="L70" s="1163">
        <f t="shared" ref="L70:S70" si="44">L69+L9</f>
        <v>136283046</v>
      </c>
      <c r="M70" s="1162">
        <f t="shared" si="44"/>
        <v>0</v>
      </c>
      <c r="N70" s="1162">
        <f t="shared" si="44"/>
        <v>-312891.58250000014</v>
      </c>
      <c r="O70" s="1162">
        <f t="shared" si="44"/>
        <v>-312891.58250000142</v>
      </c>
      <c r="P70" s="1162">
        <f t="shared" si="44"/>
        <v>135970154.41749999</v>
      </c>
      <c r="Q70" s="1162">
        <f t="shared" si="44"/>
        <v>-380282.5</v>
      </c>
      <c r="R70" s="1163">
        <f t="shared" si="44"/>
        <v>135589871.91749999</v>
      </c>
      <c r="S70" s="1163">
        <f t="shared" si="44"/>
        <v>11299155.993125003</v>
      </c>
      <c r="T70" s="551"/>
      <c r="U70" s="551"/>
      <c r="V70" s="551"/>
      <c r="W70" s="551"/>
      <c r="X70" s="551"/>
      <c r="Y70" s="551"/>
      <c r="Z70" s="551"/>
    </row>
    <row r="71" spans="1:26" ht="8.25" customHeight="1">
      <c r="A71" s="772"/>
      <c r="B71" s="559"/>
      <c r="C71" s="1167"/>
      <c r="D71" s="1168"/>
      <c r="E71" s="1169"/>
      <c r="F71" s="1169"/>
      <c r="G71" s="1169"/>
      <c r="H71" s="1169"/>
      <c r="I71" s="1169"/>
      <c r="J71" s="1170"/>
      <c r="K71" s="1170"/>
      <c r="L71" s="1170"/>
      <c r="M71" s="1170"/>
      <c r="N71" s="1170"/>
      <c r="O71" s="1170"/>
      <c r="P71" s="1170"/>
      <c r="Q71" s="1170"/>
      <c r="R71" s="1170"/>
      <c r="S71" s="1170"/>
    </row>
    <row r="72" spans="1:26" ht="16.5" thickBot="1">
      <c r="A72" s="1171"/>
      <c r="B72" s="1172" t="s">
        <v>282</v>
      </c>
      <c r="C72" s="1173">
        <f>C70+C7</f>
        <v>39973</v>
      </c>
      <c r="D72" s="1174"/>
      <c r="E72" s="1175">
        <f>E70+E7</f>
        <v>140724522</v>
      </c>
      <c r="F72" s="1175"/>
      <c r="G72" s="1175">
        <f>G70+G7</f>
        <v>29381919.801241826</v>
      </c>
      <c r="H72" s="1176">
        <f>H70+H7</f>
        <v>170106441.80124187</v>
      </c>
      <c r="I72" s="1177"/>
      <c r="J72" s="1178"/>
      <c r="K72" s="1178"/>
      <c r="L72" s="1178"/>
      <c r="M72" s="1178"/>
      <c r="N72" s="1178"/>
      <c r="O72" s="1178"/>
      <c r="P72" s="1178"/>
      <c r="Q72" s="1178"/>
      <c r="R72" s="1178"/>
      <c r="S72" s="1178"/>
    </row>
    <row r="73" spans="1:26" ht="13.5" thickTop="1">
      <c r="A73" s="1179"/>
      <c r="B73" s="1179"/>
      <c r="C73" s="1180"/>
      <c r="D73" s="1181"/>
      <c r="E73" s="549"/>
      <c r="F73" s="549"/>
      <c r="G73" s="549"/>
      <c r="H73" s="549"/>
      <c r="I73" s="1182"/>
      <c r="J73" s="549"/>
      <c r="K73" s="549"/>
      <c r="L73" s="549"/>
      <c r="M73" s="549"/>
      <c r="N73" s="549"/>
      <c r="O73" s="549"/>
      <c r="P73" s="549"/>
      <c r="Q73" s="549"/>
      <c r="R73" s="549"/>
      <c r="S73" s="549"/>
    </row>
    <row r="74" spans="1:26" ht="22.5" customHeight="1">
      <c r="A74" s="1179"/>
      <c r="B74" s="1179"/>
      <c r="C74" s="1664" t="s">
        <v>465</v>
      </c>
      <c r="D74" s="1664"/>
      <c r="E74" s="1664"/>
      <c r="F74" s="1664"/>
      <c r="G74" s="1664"/>
      <c r="H74" s="1664"/>
      <c r="I74" s="1664"/>
      <c r="J74" s="1664"/>
      <c r="K74" s="1183"/>
      <c r="L74" s="1664" t="s">
        <v>465</v>
      </c>
      <c r="M74" s="1664"/>
      <c r="N74" s="1664"/>
      <c r="O74" s="1664"/>
      <c r="P74" s="1664"/>
      <c r="Q74" s="1664"/>
      <c r="R74" s="1664"/>
      <c r="S74" s="1664"/>
      <c r="T74" s="1664"/>
      <c r="U74" s="1664"/>
    </row>
    <row r="75" spans="1:26" ht="22.5" customHeight="1">
      <c r="B75" s="1184"/>
      <c r="C75" s="1661" t="s">
        <v>578</v>
      </c>
      <c r="D75" s="1661"/>
      <c r="E75" s="1661"/>
      <c r="F75" s="1661"/>
      <c r="G75" s="1661"/>
      <c r="H75" s="1661"/>
      <c r="I75" s="1661"/>
      <c r="J75" s="1661"/>
      <c r="K75" s="1185"/>
      <c r="L75" s="1661" t="s">
        <v>578</v>
      </c>
      <c r="M75" s="1661"/>
      <c r="N75" s="1661"/>
      <c r="O75" s="1661"/>
      <c r="P75" s="1661"/>
      <c r="Q75" s="1661"/>
      <c r="R75" s="1661"/>
      <c r="S75" s="1661"/>
      <c r="T75" s="1184"/>
      <c r="U75" s="1184"/>
    </row>
    <row r="76" spans="1:26" ht="15.75" customHeight="1">
      <c r="C76" s="1662"/>
      <c r="D76" s="1663"/>
      <c r="E76" s="1663"/>
      <c r="F76" s="1663"/>
      <c r="G76" s="1663"/>
      <c r="H76" s="1663"/>
      <c r="I76" s="1663"/>
      <c r="J76" s="1663"/>
      <c r="K76" s="1186"/>
      <c r="L76" s="1662"/>
      <c r="M76" s="1663"/>
      <c r="N76" s="1663"/>
      <c r="O76" s="1663"/>
      <c r="P76" s="1663"/>
      <c r="Q76" s="1663"/>
      <c r="R76" s="1663"/>
      <c r="S76" s="1663"/>
    </row>
    <row r="77" spans="1:26" hidden="1"/>
    <row r="78" spans="1:26" ht="17.25" hidden="1" customHeight="1">
      <c r="B78" s="1137" t="s">
        <v>425</v>
      </c>
      <c r="F78" s="1130">
        <v>746.0335616438357</v>
      </c>
    </row>
    <row r="79" spans="1:26" hidden="1"/>
    <row r="80" spans="1:26" hidden="1"/>
    <row r="81" spans="2:3" hidden="1">
      <c r="B81" s="1137" t="s">
        <v>430</v>
      </c>
      <c r="C81" s="1137">
        <v>258</v>
      </c>
    </row>
    <row r="82" spans="2:3" hidden="1"/>
    <row r="83" spans="2:3" hidden="1"/>
  </sheetData>
  <mergeCells count="28">
    <mergeCell ref="A1:J1"/>
    <mergeCell ref="B10:J10"/>
    <mergeCell ref="C74:J74"/>
    <mergeCell ref="Q4:Q5"/>
    <mergeCell ref="R4:R5"/>
    <mergeCell ref="L10:X10"/>
    <mergeCell ref="S4:S5"/>
    <mergeCell ref="P4:P5"/>
    <mergeCell ref="O4:O5"/>
    <mergeCell ref="L8:X8"/>
    <mergeCell ref="L4:L5"/>
    <mergeCell ref="K4:K5"/>
    <mergeCell ref="F3:G3"/>
    <mergeCell ref="G4:G5"/>
    <mergeCell ref="A4:A5"/>
    <mergeCell ref="J4:J5"/>
    <mergeCell ref="B8:J8"/>
    <mergeCell ref="H4:H5"/>
    <mergeCell ref="C4:C5"/>
    <mergeCell ref="B4:B5"/>
    <mergeCell ref="E4:E5"/>
    <mergeCell ref="I4:I5"/>
    <mergeCell ref="F4:F5"/>
    <mergeCell ref="C75:J75"/>
    <mergeCell ref="L75:S75"/>
    <mergeCell ref="C76:J76"/>
    <mergeCell ref="L76:S76"/>
    <mergeCell ref="L74:U74"/>
  </mergeCells>
  <phoneticPr fontId="0" type="noConversion"/>
  <printOptions horizontalCentered="1"/>
  <pageMargins left="0.2" right="0.2" top="1.0900000000000001" bottom="0.77" header="0.32" footer="0.19"/>
  <pageSetup paperSize="5" scale="56" firstPageNumber="46" fitToHeight="2" orientation="portrait" useFirstPageNumber="1" r:id="rId1"/>
  <headerFooter alignWithMargins="0">
    <oddHeader xml:space="preserve">&amp;L&amp;"Arial,Bold"&amp;22Table 5B-1:  FY2013-14 MFP Budget Letter 
Recovery School District (Orleans Parish) 
&amp;R
</oddHeader>
    <oddFooter>&amp;L&amp;14*FY2010-11 is the first year of operation
&amp;R&amp;16&amp;P</oddFooter>
  </headerFooter>
  <colBreaks count="1" manualBreakCount="1">
    <brk id="10" min="2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59</vt:i4>
      </vt:variant>
    </vt:vector>
  </HeadingPairs>
  <TitlesOfParts>
    <vt:vector size="90" baseType="lpstr">
      <vt:lpstr>Table 1 State Summary </vt:lpstr>
      <vt:lpstr>Table 2_State Distrib and Adjs</vt:lpstr>
      <vt:lpstr>Table 2A-1_EFT (Annual)</vt:lpstr>
      <vt:lpstr>Table 2A-2 EFT (Monthly)</vt:lpstr>
      <vt:lpstr>Table 3 Levels 1&amp;2</vt:lpstr>
      <vt:lpstr>Table 4 Level 3</vt:lpstr>
      <vt:lpstr>Table 4A Stipends</vt:lpstr>
      <vt:lpstr>Table 5A Labs, NOCCA,LSMSA</vt:lpstr>
      <vt:lpstr>Table 5B1_RSD_Orleans</vt:lpstr>
      <vt:lpstr>Table 5B2_RSD_LA</vt:lpstr>
      <vt:lpstr>Table 5C1A-Madison Prep</vt:lpstr>
      <vt:lpstr>Table 5C1B-DArbonne</vt:lpstr>
      <vt:lpstr>Table 5C1C-Intl_VIBE</vt:lpstr>
      <vt:lpstr>Table 5C1D-NOMMA</vt:lpstr>
      <vt:lpstr>Table 5C1E-LFNO</vt:lpstr>
      <vt:lpstr>Table 5C1F-Lake Charles Charter</vt:lpstr>
      <vt:lpstr>Table 5C1G-JS Clark Academy</vt:lpstr>
      <vt:lpstr>Table 5C1H-Southwest LA Charter</vt:lpstr>
      <vt:lpstr>Table 5C1I-LA Key Academy</vt:lpstr>
      <vt:lpstr>Table 5C1J-Jefferson Chamber</vt:lpstr>
      <vt:lpstr>Table 5C1K-Tallulah Charter</vt:lpstr>
      <vt:lpstr>Table 5C1L-Northshore Charter</vt:lpstr>
      <vt:lpstr>Table 5C1M-EBR Charter</vt:lpstr>
      <vt:lpstr>Table 5C1N-Delta Charter</vt:lpstr>
      <vt:lpstr>Table 5C2 - LA Virtual Admy</vt:lpstr>
      <vt:lpstr>Table 5C3 - LA Connections EBR</vt:lpstr>
      <vt:lpstr>Table 5D- Legacy Type 2</vt:lpstr>
      <vt:lpstr>Table 5E_OJJ</vt:lpstr>
      <vt:lpstr>Table 6 (Local Deduct Calc.)</vt:lpstr>
      <vt:lpstr>Table 7 Local Revenue</vt:lpstr>
      <vt:lpstr>2-1-13 SIS</vt:lpstr>
      <vt:lpstr>'Table 1 State Summary '!Print_Area</vt:lpstr>
      <vt:lpstr>'Table 2_State Distrib and Adjs'!Print_Area</vt:lpstr>
      <vt:lpstr>'Table 2A-1_EFT (Annual)'!Print_Area</vt:lpstr>
      <vt:lpstr>'Table 2A-2 EFT (Monthly)'!Print_Area</vt:lpstr>
      <vt:lpstr>'Table 3 Levels 1&amp;2'!Print_Area</vt:lpstr>
      <vt:lpstr>'Table 4 Level 3'!Print_Area</vt:lpstr>
      <vt:lpstr>'Table 4A Stipends'!Print_Area</vt:lpstr>
      <vt:lpstr>'Table 5A Labs, NOCCA,LSMSA'!Print_Area</vt:lpstr>
      <vt:lpstr>'Table 5B1_RSD_Orleans'!Print_Area</vt:lpstr>
      <vt:lpstr>'Table 5B2_RSD_LA'!Print_Area</vt:lpstr>
      <vt:lpstr>'Table 5C1A-Madison Prep'!Print_Area</vt:lpstr>
      <vt:lpstr>'Table 5C1B-DArbonne'!Print_Area</vt:lpstr>
      <vt:lpstr>'Table 5C1C-Intl_VIBE'!Print_Area</vt:lpstr>
      <vt:lpstr>'Table 5C1D-NOMMA'!Print_Area</vt:lpstr>
      <vt:lpstr>'Table 5C1E-LFNO'!Print_Area</vt:lpstr>
      <vt:lpstr>'Table 5C1F-Lake Charles Charter'!Print_Area</vt:lpstr>
      <vt:lpstr>'Table 5C1G-JS Clark Academy'!Print_Area</vt:lpstr>
      <vt:lpstr>'Table 5C1H-Southwest LA Charter'!Print_Area</vt:lpstr>
      <vt:lpstr>'Table 5C1I-LA Key Academy'!Print_Area</vt:lpstr>
      <vt:lpstr>'Table 5C1J-Jefferson Chamber'!Print_Area</vt:lpstr>
      <vt:lpstr>'Table 5C1K-Tallulah Charter'!Print_Area</vt:lpstr>
      <vt:lpstr>'Table 5C1L-Northshore Charter'!Print_Area</vt:lpstr>
      <vt:lpstr>'Table 5C1M-EBR Charter'!Print_Area</vt:lpstr>
      <vt:lpstr>'Table 5C1N-Delta Charter'!Print_Area</vt:lpstr>
      <vt:lpstr>'Table 5C2 - LA Virtual Admy'!Print_Area</vt:lpstr>
      <vt:lpstr>'Table 5C3 - LA Connections EBR'!Print_Area</vt:lpstr>
      <vt:lpstr>'Table 5D- Legacy Type 2'!Print_Area</vt:lpstr>
      <vt:lpstr>'Table 5E_OJJ'!Print_Area</vt:lpstr>
      <vt:lpstr>'Table 6 (Local Deduct Calc.)'!Print_Area</vt:lpstr>
      <vt:lpstr>'Table 7 Local Revenue'!Print_Area</vt:lpstr>
      <vt:lpstr>'2-1-13 SIS'!Print_Titles</vt:lpstr>
      <vt:lpstr>'Table 1 State Summary '!Print_Titles</vt:lpstr>
      <vt:lpstr>'Table 2_State Distrib and Adjs'!Print_Titles</vt:lpstr>
      <vt:lpstr>'Table 2A-1_EFT (Annual)'!Print_Titles</vt:lpstr>
      <vt:lpstr>'Table 2A-2 EFT (Monthly)'!Print_Titles</vt:lpstr>
      <vt:lpstr>'Table 3 Levels 1&amp;2'!Print_Titles</vt:lpstr>
      <vt:lpstr>'Table 4 Level 3'!Print_Titles</vt:lpstr>
      <vt:lpstr>'Table 5A Labs, NOCCA,LSMSA'!Print_Titles</vt:lpstr>
      <vt:lpstr>'Table 5B1_RSD_Orleans'!Print_Titles</vt:lpstr>
      <vt:lpstr>'Table 5B2_RSD_LA'!Print_Titles</vt:lpstr>
      <vt:lpstr>'Table 5C1A-Madison Prep'!Print_Titles</vt:lpstr>
      <vt:lpstr>'Table 5C1B-DArbonne'!Print_Titles</vt:lpstr>
      <vt:lpstr>'Table 5C1C-Intl_VIBE'!Print_Titles</vt:lpstr>
      <vt:lpstr>'Table 5C1D-NOMMA'!Print_Titles</vt:lpstr>
      <vt:lpstr>'Table 5C1E-LFNO'!Print_Titles</vt:lpstr>
      <vt:lpstr>'Table 5C1F-Lake Charles Charter'!Print_Titles</vt:lpstr>
      <vt:lpstr>'Table 5C1G-JS Clark Academy'!Print_Titles</vt:lpstr>
      <vt:lpstr>'Table 5C1H-Southwest LA Charter'!Print_Titles</vt:lpstr>
      <vt:lpstr>'Table 5C1I-LA Key Academy'!Print_Titles</vt:lpstr>
      <vt:lpstr>'Table 5C1J-Jefferson Chamber'!Print_Titles</vt:lpstr>
      <vt:lpstr>'Table 5C1K-Tallulah Charter'!Print_Titles</vt:lpstr>
      <vt:lpstr>'Table 5C1L-Northshore Charter'!Print_Titles</vt:lpstr>
      <vt:lpstr>'Table 5C1M-EBR Charter'!Print_Titles</vt:lpstr>
      <vt:lpstr>'Table 5C1N-Delta Charter'!Print_Titles</vt:lpstr>
      <vt:lpstr>'Table 5C2 - LA Virtual Admy'!Print_Titles</vt:lpstr>
      <vt:lpstr>'Table 5C3 - LA Connections EBR'!Print_Titles</vt:lpstr>
      <vt:lpstr>'Table 5E_OJJ'!Print_Titles</vt:lpstr>
      <vt:lpstr>'Table 6 (Local Deduct Calc.)'!Print_Titles</vt:lpstr>
      <vt:lpstr>'Table 7 Local Revenue'!Print_Titles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Cstevens</dc:creator>
  <cp:lastModifiedBy>Paula Matherne</cp:lastModifiedBy>
  <cp:lastPrinted>2013-06-10T20:01:12Z</cp:lastPrinted>
  <dcterms:created xsi:type="dcterms:W3CDTF">1999-11-15T20:37:39Z</dcterms:created>
  <dcterms:modified xsi:type="dcterms:W3CDTF">2013-06-10T20:27:34Z</dcterms:modified>
</cp:coreProperties>
</file>